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25" yWindow="450" windowWidth="13800" windowHeight="10875" tabRatio="800" firstSheet="1" activeTab="1"/>
  </bookViews>
  <sheets>
    <sheet name="січень тимчасовий" sheetId="1" r:id="rId1"/>
    <sheet name="червень" sheetId="2" r:id="rId2"/>
    <sheet name="Лист1" sheetId="3" r:id="rId3"/>
  </sheets>
  <definedNames>
    <definedName name="_xlnm.Print_Titles" localSheetId="0">'січень тимчасовий'!$3:$5</definedName>
    <definedName name="_xlnm.Print_Titles" localSheetId="1">'червень'!$3:$5</definedName>
  </definedNames>
  <calcPr fullCalcOnLoad="1"/>
</workbook>
</file>

<file path=xl/sharedStrings.xml><?xml version="1.0" encoding="utf-8"?>
<sst xmlns="http://schemas.openxmlformats.org/spreadsheetml/2006/main" count="318" uniqueCount="118">
  <si>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</si>
  <si>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</si>
  <si>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</si>
  <si>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</si>
  <si>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</si>
  <si>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</si>
  <si>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</si>
  <si>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</si>
  <si>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</si>
  <si>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</si>
  <si>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</si>
  <si>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</si>
  <si>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</si>
  <si>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</si>
  <si>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</si>
  <si>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</si>
  <si>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</si>
  <si>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</si>
  <si>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</si>
  <si>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</si>
  <si>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</si>
  <si>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</si>
  <si>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</si>
  <si>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</si>
  <si>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</si>
  <si>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</si>
  <si>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</si>
  <si>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</si>
  <si>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</si>
  <si>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</si>
  <si>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</si>
  <si>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</si>
  <si>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</si>
  <si>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</si>
  <si>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</si>
  <si>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</si>
  <si>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</si>
  <si>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</si>
  <si>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</si>
  <si>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</si>
  <si>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</si>
  <si>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</si>
  <si>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</si>
  <si>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</si>
  <si>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</si>
  <si>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</si>
  <si>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</si>
  <si>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</si>
  <si>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</si>
  <si>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</si>
  <si>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</si>
  <si>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</si>
  <si>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</si>
  <si>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</si>
  <si>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</si>
  <si>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</si>
  <si>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</si>
  <si>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</si>
  <si>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</si>
  <si>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</si>
  <si>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</si>
  <si>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</si>
  <si>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</si>
  <si>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</si>
  <si>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</si>
  <si>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</si>
  <si>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</si>
  <si>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</si>
  <si>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</si>
  <si>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</si>
  <si>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</si>
  <si>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</si>
  <si>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</si>
  <si>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</si>
  <si>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</si>
  <si>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</si>
  <si>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</si>
  <si>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</si>
  <si>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</si>
  <si>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</si>
  <si>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</si>
  <si>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</si>
  <si>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</si>
  <si>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</si>
  <si>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</si>
  <si>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</si>
  <si>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</si>
  <si>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</si>
  <si>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</si>
  <si>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</si>
  <si>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</si>
  <si>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</si>
  <si>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</si>
  <si>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</si>
  <si>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</si>
  <si>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</si>
  <si>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</si>
  <si>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</si>
  <si>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</si>
  <si>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</si>
  <si>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</si>
  <si>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</si>
  <si>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</si>
  <si>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січень, тис.грн.</t>
  </si>
  <si>
    <t>Відсоток виконання тимчасового плану січня</t>
  </si>
  <si>
    <t>Відхилення від тимчасового плану січня, тис.грн.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</si>
  <si>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</si>
  <si>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</si>
  <si>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</si>
  <si>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31.01.2018 року</t>
  </si>
  <si>
    <t>План на рік, тис.грн.</t>
  </si>
  <si>
    <t>Відсоток виконання  плану на рік</t>
  </si>
  <si>
    <t>Відхилення від плану на рік тис.грн.</t>
  </si>
  <si>
    <t>Програма сприяння залученню інвестицій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</si>
  <si>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</si>
  <si>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</si>
  <si>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</si>
  <si>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02.07.2018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</si>
</sst>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6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1" fillId="0" borderId="12" xfId="0" applyNumberFormat="1" applyFont="1" applyFill="1" applyBorder="1" applyAlignment="1">
      <alignment/>
    </xf>
    <xf numFmtId="189" fontId="11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 indent="4"/>
    </xf>
    <xf numFmtId="190" fontId="11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1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1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1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0" fillId="33" borderId="0" xfId="0" applyNumberFormat="1" applyFont="1" applyFill="1" applyAlignment="1">
      <alignment/>
    </xf>
    <xf numFmtId="0" fontId="11" fillId="33" borderId="12" xfId="0" applyFont="1" applyFill="1" applyBorder="1" applyAlignment="1">
      <alignment wrapText="1"/>
    </xf>
    <xf numFmtId="190" fontId="11" fillId="33" borderId="12" xfId="0" applyNumberFormat="1" applyFont="1" applyFill="1" applyBorder="1" applyAlignment="1">
      <alignment wrapText="1"/>
    </xf>
    <xf numFmtId="190" fontId="11" fillId="33" borderId="12" xfId="0" applyNumberFormat="1" applyFont="1" applyFill="1" applyBorder="1" applyAlignment="1">
      <alignment/>
    </xf>
    <xf numFmtId="190" fontId="11" fillId="33" borderId="10" xfId="0" applyNumberFormat="1" applyFont="1" applyFill="1" applyBorder="1" applyAlignment="1">
      <alignment/>
    </xf>
    <xf numFmtId="189" fontId="11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wrapText="1"/>
    </xf>
    <xf numFmtId="190" fontId="14" fillId="33" borderId="10" xfId="0" applyNumberFormat="1" applyFont="1" applyFill="1" applyBorder="1" applyAlignment="1">
      <alignment wrapText="1"/>
    </xf>
    <xf numFmtId="190" fontId="14" fillId="33" borderId="10" xfId="0" applyNumberFormat="1" applyFont="1" applyFill="1" applyBorder="1" applyAlignment="1">
      <alignment/>
    </xf>
    <xf numFmtId="190" fontId="14" fillId="33" borderId="17" xfId="0" applyNumberFormat="1" applyFont="1" applyFill="1" applyBorder="1" applyAlignment="1">
      <alignment/>
    </xf>
    <xf numFmtId="189" fontId="14" fillId="33" borderId="10" xfId="0" applyNumberFormat="1" applyFont="1" applyFill="1" applyBorder="1" applyAlignment="1">
      <alignment/>
    </xf>
    <xf numFmtId="189" fontId="15" fillId="33" borderId="10" xfId="0" applyNumberFormat="1" applyFont="1" applyFill="1" applyBorder="1" applyAlignment="1">
      <alignment/>
    </xf>
    <xf numFmtId="190" fontId="15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8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6" fillId="33" borderId="0" xfId="0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5" fillId="34" borderId="1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10"/>
      </font>
    </dxf>
    <dxf>
      <fill>
        <patternFill patternType="solid">
          <bgColor indexed="9"/>
        </patternFill>
      </fill>
    </dxf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zoomScale="80" zoomScaleNormal="80" zoomScalePageLayoutView="0" workbookViewId="0" topLeftCell="A1">
      <pane xSplit="1" ySplit="5" topLeftCell="B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08" sqref="E108"/>
    </sheetView>
  </sheetViews>
  <sheetFormatPr defaultColWidth="9.00390625" defaultRowHeight="12.75"/>
  <cols>
    <col min="1" max="1" width="66.875" style="24" customWidth="1"/>
    <col min="2" max="2" width="19.00390625" style="24" customWidth="1"/>
    <col min="3" max="3" width="18.375" style="9" customWidth="1"/>
    <col min="4" max="4" width="19.00390625" style="9" customWidth="1"/>
    <col min="5" max="5" width="17.375" style="9" customWidth="1"/>
    <col min="6" max="7" width="19.375" style="9" customWidth="1"/>
    <col min="8" max="8" width="19.625" style="9" customWidth="1"/>
    <col min="9" max="9" width="21.00390625" style="9" customWidth="1"/>
    <col min="10" max="10" width="9.125" style="9" customWidth="1"/>
    <col min="11" max="11" width="21.125" style="9" bestFit="1" customWidth="1"/>
    <col min="12" max="12" width="31.375" style="9" bestFit="1" customWidth="1"/>
    <col min="13" max="16384" width="9.125" style="9" customWidth="1"/>
  </cols>
  <sheetData>
    <row r="1" spans="1:9" ht="63" customHeight="1">
      <c r="A1" s="174" t="s">
        <v>109</v>
      </c>
      <c r="B1" s="174"/>
      <c r="C1" s="174"/>
      <c r="D1" s="174"/>
      <c r="E1" s="174"/>
      <c r="F1" s="174"/>
      <c r="G1" s="174"/>
      <c r="H1" s="174"/>
      <c r="I1" s="174"/>
    </row>
    <row r="2" spans="1:8" ht="9.75" customHeight="1" thickBot="1">
      <c r="A2" s="17"/>
      <c r="B2" s="17"/>
      <c r="C2" s="8"/>
      <c r="D2" s="8"/>
      <c r="E2" s="8"/>
      <c r="F2" s="8"/>
      <c r="G2" s="8"/>
      <c r="H2" s="8"/>
    </row>
    <row r="3" spans="1:9" ht="29.25" customHeight="1">
      <c r="A3" s="178" t="s">
        <v>38</v>
      </c>
      <c r="B3" s="181" t="s">
        <v>103</v>
      </c>
      <c r="C3" s="175" t="s">
        <v>106</v>
      </c>
      <c r="D3" s="175" t="s">
        <v>23</v>
      </c>
      <c r="E3" s="175" t="s">
        <v>22</v>
      </c>
      <c r="F3" s="175" t="s">
        <v>104</v>
      </c>
      <c r="G3" s="175" t="s">
        <v>107</v>
      </c>
      <c r="H3" s="175" t="s">
        <v>105</v>
      </c>
      <c r="I3" s="175" t="s">
        <v>108</v>
      </c>
    </row>
    <row r="4" spans="1:9" ht="24.75" customHeight="1">
      <c r="A4" s="179"/>
      <c r="B4" s="182"/>
      <c r="C4" s="176"/>
      <c r="D4" s="176"/>
      <c r="E4" s="176"/>
      <c r="F4" s="176"/>
      <c r="G4" s="176"/>
      <c r="H4" s="176"/>
      <c r="I4" s="176"/>
    </row>
    <row r="5" spans="1:9" ht="39" customHeight="1" thickBot="1">
      <c r="A5" s="180"/>
      <c r="B5" s="183"/>
      <c r="C5" s="177"/>
      <c r="D5" s="177"/>
      <c r="E5" s="177"/>
      <c r="F5" s="177"/>
      <c r="G5" s="177"/>
      <c r="H5" s="177"/>
      <c r="I5" s="177"/>
    </row>
    <row r="6" spans="1:11" ht="18.75" thickBot="1">
      <c r="A6" s="18" t="s">
        <v>27</v>
      </c>
      <c r="B6" s="37">
        <f>37010.6+B7-192</f>
        <v>55998.2</v>
      </c>
      <c r="C6" s="38">
        <f>111031.8+C7</f>
        <v>168570.6</v>
      </c>
      <c r="D6" s="39">
        <f>18784.8+19.1+1564+604.6+17261.2+400.5+10875.2</f>
        <v>49509.399999999994</v>
      </c>
      <c r="E6" s="3">
        <f>D6/D152*100</f>
        <v>48.09203164340555</v>
      </c>
      <c r="F6" s="3">
        <f>D6/B6*100</f>
        <v>88.41248468700779</v>
      </c>
      <c r="G6" s="3">
        <f aca="true" t="shared" si="0" ref="G6:G43">D6/C6*100</f>
        <v>29.370127412490664</v>
      </c>
      <c r="H6" s="39">
        <f>B6-D6</f>
        <v>6488.800000000003</v>
      </c>
      <c r="I6" s="39">
        <f aca="true" t="shared" si="1" ref="I6:I43">C6-D6</f>
        <v>119061.20000000001</v>
      </c>
      <c r="K6" s="156"/>
    </row>
    <row r="7" spans="1:12" s="93" customFormat="1" ht="18.75">
      <c r="A7" s="142" t="s">
        <v>79</v>
      </c>
      <c r="B7" s="143">
        <f>19179.6</f>
        <v>19179.6</v>
      </c>
      <c r="C7" s="144">
        <v>57538.8</v>
      </c>
      <c r="D7" s="145">
        <f>8282.7+10875.2</f>
        <v>19157.9</v>
      </c>
      <c r="E7" s="146">
        <f>D7/D6*100</f>
        <v>38.69548005025309</v>
      </c>
      <c r="F7" s="146">
        <f>D7/B7*100</f>
        <v>99.88685895430564</v>
      </c>
      <c r="G7" s="146">
        <f>D7/C7*100</f>
        <v>33.2956196514352</v>
      </c>
      <c r="H7" s="145">
        <f>B7-D7</f>
        <v>21.69999999999709</v>
      </c>
      <c r="I7" s="145">
        <f t="shared" si="1"/>
        <v>38380.9</v>
      </c>
      <c r="K7" s="156"/>
      <c r="L7" s="141"/>
    </row>
    <row r="8" spans="1:12" s="92" customFormat="1" ht="18">
      <c r="A8" s="103" t="s">
        <v>3</v>
      </c>
      <c r="B8" s="128">
        <v>47930.9</v>
      </c>
      <c r="C8" s="129">
        <v>143792.8</v>
      </c>
      <c r="D8" s="105">
        <f>18784.8+17058.5+10875.2+340.5</f>
        <v>47059</v>
      </c>
      <c r="E8" s="107">
        <f>D8/D6*100</f>
        <v>95.05063684876004</v>
      </c>
      <c r="F8" s="107">
        <f>D8/B8*100</f>
        <v>98.18092295366871</v>
      </c>
      <c r="G8" s="107">
        <f t="shared" si="0"/>
        <v>32.726951558075235</v>
      </c>
      <c r="H8" s="105">
        <f>B8-D8</f>
        <v>871.9000000000015</v>
      </c>
      <c r="I8" s="105">
        <f t="shared" si="1"/>
        <v>96733.79999999999</v>
      </c>
      <c r="K8" s="156"/>
      <c r="L8" s="141"/>
    </row>
    <row r="9" spans="1:12" s="92" customFormat="1" ht="18" hidden="1">
      <c r="A9" s="103" t="s">
        <v>2</v>
      </c>
      <c r="B9" s="128">
        <v>0</v>
      </c>
      <c r="C9" s="129">
        <v>0</v>
      </c>
      <c r="D9" s="105"/>
      <c r="E9" s="130">
        <f>D9/D6*100</f>
        <v>0</v>
      </c>
      <c r="F9" s="107" t="e">
        <f>D9/B9*100</f>
        <v>#DIV/0!</v>
      </c>
      <c r="G9" s="107" t="e">
        <f t="shared" si="0"/>
        <v>#DIV/0!</v>
      </c>
      <c r="H9" s="105">
        <f aca="true" t="shared" si="2" ref="H9:H43">B9-D9</f>
        <v>0</v>
      </c>
      <c r="I9" s="105">
        <f t="shared" si="1"/>
        <v>0</v>
      </c>
      <c r="K9" s="156"/>
      <c r="L9" s="141"/>
    </row>
    <row r="10" spans="1:12" s="92" customFormat="1" ht="18">
      <c r="A10" s="103" t="s">
        <v>1</v>
      </c>
      <c r="B10" s="128">
        <v>3147.6</v>
      </c>
      <c r="C10" s="129">
        <v>10964.3</v>
      </c>
      <c r="D10" s="147">
        <f>48.9+218.8+88.4</f>
        <v>356.1</v>
      </c>
      <c r="E10" s="107">
        <f>D10/D6*100</f>
        <v>0.7192573531490991</v>
      </c>
      <c r="F10" s="107">
        <f aca="true" t="shared" si="3" ref="F10:F41">D10/B10*100</f>
        <v>11.31338162409455</v>
      </c>
      <c r="G10" s="107">
        <f t="shared" si="0"/>
        <v>3.247813357897905</v>
      </c>
      <c r="H10" s="105">
        <f t="shared" si="2"/>
        <v>2791.5</v>
      </c>
      <c r="I10" s="105">
        <f t="shared" si="1"/>
        <v>10608.199999999999</v>
      </c>
      <c r="K10" s="156"/>
      <c r="L10" s="141"/>
    </row>
    <row r="11" spans="1:12" s="92" customFormat="1" ht="18">
      <c r="A11" s="103" t="s">
        <v>0</v>
      </c>
      <c r="B11" s="128">
        <f>3754.9-98</f>
        <v>3656.9</v>
      </c>
      <c r="C11" s="129">
        <v>9846.2</v>
      </c>
      <c r="D11" s="148">
        <f>19.1+640.6+125.5+108.2+60</f>
        <v>953.4000000000001</v>
      </c>
      <c r="E11" s="107">
        <f>D11/D6*100</f>
        <v>1.925694918540722</v>
      </c>
      <c r="F11" s="107">
        <f t="shared" si="3"/>
        <v>26.071262544778367</v>
      </c>
      <c r="G11" s="107">
        <f t="shared" si="0"/>
        <v>9.682923361296744</v>
      </c>
      <c r="H11" s="105">
        <f t="shared" si="2"/>
        <v>2703.5</v>
      </c>
      <c r="I11" s="105">
        <f t="shared" si="1"/>
        <v>8892.800000000001</v>
      </c>
      <c r="K11" s="156"/>
      <c r="L11" s="141"/>
    </row>
    <row r="12" spans="1:12" s="92" customFormat="1" ht="18">
      <c r="A12" s="103" t="s">
        <v>14</v>
      </c>
      <c r="B12" s="128">
        <v>1165</v>
      </c>
      <c r="C12" s="129">
        <v>3402</v>
      </c>
      <c r="D12" s="105">
        <f>874.5+251.8</f>
        <v>1126.3</v>
      </c>
      <c r="E12" s="107">
        <f>D12/D6*100</f>
        <v>2.274921530052879</v>
      </c>
      <c r="F12" s="107">
        <f t="shared" si="3"/>
        <v>96.67811158798283</v>
      </c>
      <c r="G12" s="107">
        <f t="shared" si="0"/>
        <v>33.10699588477366</v>
      </c>
      <c r="H12" s="105">
        <f>B12-D12</f>
        <v>38.700000000000045</v>
      </c>
      <c r="I12" s="105">
        <f t="shared" si="1"/>
        <v>2275.7</v>
      </c>
      <c r="K12" s="156"/>
      <c r="L12" s="141"/>
    </row>
    <row r="13" spans="1:12" s="92" customFormat="1" ht="18.75" thickBot="1">
      <c r="A13" s="103" t="s">
        <v>28</v>
      </c>
      <c r="B13" s="129">
        <f>B6-B8-B9-B10-B11-B12</f>
        <v>97.79999999999518</v>
      </c>
      <c r="C13" s="129">
        <f>C6-C8-C9-C10-C11-C12</f>
        <v>565.3000000000175</v>
      </c>
      <c r="D13" s="129">
        <f>D6-D8-D9-D10-D11-D12</f>
        <v>14.599999999994225</v>
      </c>
      <c r="E13" s="107">
        <f>D13/D6*100</f>
        <v>0.029489349497255526</v>
      </c>
      <c r="F13" s="107">
        <f t="shared" si="3"/>
        <v>14.928425357868042</v>
      </c>
      <c r="G13" s="107">
        <f t="shared" si="0"/>
        <v>2.582699451617508</v>
      </c>
      <c r="H13" s="105">
        <f t="shared" si="2"/>
        <v>83.20000000000095</v>
      </c>
      <c r="I13" s="105">
        <f t="shared" si="1"/>
        <v>550.7000000000232</v>
      </c>
      <c r="K13" s="156"/>
      <c r="L13" s="141"/>
    </row>
    <row r="14" spans="1:13" s="30" customFormat="1" ht="18.75" customHeight="1" hidden="1">
      <c r="A14" s="73" t="s">
        <v>59</v>
      </c>
      <c r="B14" s="71"/>
      <c r="C14" s="71"/>
      <c r="D14" s="71"/>
      <c r="E14" s="72"/>
      <c r="F14" s="72" t="e">
        <f>D14/B14*100</f>
        <v>#DIV/0!</v>
      </c>
      <c r="G14" s="72" t="e">
        <f>D14/C14*100</f>
        <v>#DIV/0!</v>
      </c>
      <c r="H14" s="78">
        <f>B14-D14</f>
        <v>0</v>
      </c>
      <c r="I14" s="78">
        <f>C14-D14</f>
        <v>0</v>
      </c>
      <c r="K14" s="9"/>
      <c r="L14" s="9"/>
      <c r="M14" s="9"/>
    </row>
    <row r="15" spans="1:13" s="30" customFormat="1" ht="18.75" customHeight="1" hidden="1">
      <c r="A15" s="73" t="s">
        <v>56</v>
      </c>
      <c r="B15" s="71"/>
      <c r="C15" s="71"/>
      <c r="D15" s="71"/>
      <c r="E15" s="72"/>
      <c r="F15" s="72" t="e">
        <f>D15/B15*100</f>
        <v>#DIV/0!</v>
      </c>
      <c r="G15" s="72" t="e">
        <f>D15/C15*100</f>
        <v>#DIV/0!</v>
      </c>
      <c r="H15" s="78">
        <f>B15-D15</f>
        <v>0</v>
      </c>
      <c r="I15" s="78">
        <f>C15-D15</f>
        <v>0</v>
      </c>
      <c r="K15" s="9"/>
      <c r="L15" s="9"/>
      <c r="M15" s="9"/>
    </row>
    <row r="16" spans="1:13" s="30" customFormat="1" ht="19.5" hidden="1" thickBot="1">
      <c r="A16" s="73" t="s">
        <v>57</v>
      </c>
      <c r="B16" s="71"/>
      <c r="C16" s="71"/>
      <c r="D16" s="71"/>
      <c r="E16" s="72"/>
      <c r="F16" s="72" t="e">
        <f>D16/B16*100</f>
        <v>#DIV/0!</v>
      </c>
      <c r="G16" s="72" t="e">
        <f>D16/C16*100</f>
        <v>#DIV/0!</v>
      </c>
      <c r="H16" s="78">
        <f>B16-D16</f>
        <v>0</v>
      </c>
      <c r="I16" s="78">
        <f>C16-D16</f>
        <v>0</v>
      </c>
      <c r="K16" s="9"/>
      <c r="L16" s="9"/>
      <c r="M16" s="9"/>
    </row>
    <row r="17" spans="1:13" s="30" customFormat="1" ht="19.5" hidden="1" thickBot="1">
      <c r="A17" s="73" t="s">
        <v>58</v>
      </c>
      <c r="B17" s="71"/>
      <c r="C17" s="71"/>
      <c r="D17" s="71"/>
      <c r="E17" s="72"/>
      <c r="F17" s="72" t="e">
        <f>D17/B17*100</f>
        <v>#DIV/0!</v>
      </c>
      <c r="G17" s="72" t="e">
        <f>D17/C17*100</f>
        <v>#DIV/0!</v>
      </c>
      <c r="H17" s="78">
        <f>B17-D17</f>
        <v>0</v>
      </c>
      <c r="I17" s="78">
        <f>C17-D17</f>
        <v>0</v>
      </c>
      <c r="K17" s="9"/>
      <c r="L17" s="9"/>
      <c r="M17" s="9"/>
    </row>
    <row r="18" spans="1:11" ht="18.75" thickBot="1">
      <c r="A18" s="18" t="s">
        <v>19</v>
      </c>
      <c r="B18" s="37">
        <f>11439.4+B19-25.4</f>
        <v>33417</v>
      </c>
      <c r="C18" s="38">
        <f>34318.2+C19</f>
        <v>100327</v>
      </c>
      <c r="D18" s="39">
        <f>10253+9229.9+6482.3+67.5+83+34.1</f>
        <v>26149.8</v>
      </c>
      <c r="E18" s="3">
        <f>D18/D152*100</f>
        <v>25.40117652544217</v>
      </c>
      <c r="F18" s="3">
        <f>D18/B18*100</f>
        <v>78.25298500763085</v>
      </c>
      <c r="G18" s="3">
        <f t="shared" si="0"/>
        <v>26.064568859828363</v>
      </c>
      <c r="H18" s="39">
        <f>B18-D18</f>
        <v>7267.200000000001</v>
      </c>
      <c r="I18" s="39">
        <f t="shared" si="1"/>
        <v>74177.2</v>
      </c>
      <c r="K18" s="156"/>
    </row>
    <row r="19" spans="1:13" s="93" customFormat="1" ht="18.75">
      <c r="A19" s="142" t="s">
        <v>80</v>
      </c>
      <c r="B19" s="143">
        <v>22003</v>
      </c>
      <c r="C19" s="144">
        <v>66008.8</v>
      </c>
      <c r="D19" s="145">
        <f>10253+8836.7+83+81.4+67.5</f>
        <v>19321.600000000002</v>
      </c>
      <c r="E19" s="146">
        <f>D19/D18*100</f>
        <v>73.88813681175382</v>
      </c>
      <c r="F19" s="146">
        <f t="shared" si="3"/>
        <v>87.81347998000274</v>
      </c>
      <c r="G19" s="146">
        <f t="shared" si="0"/>
        <v>29.271248681993917</v>
      </c>
      <c r="H19" s="145">
        <f t="shared" si="2"/>
        <v>2681.399999999998</v>
      </c>
      <c r="I19" s="145">
        <f t="shared" si="1"/>
        <v>46687.2</v>
      </c>
      <c r="K19" s="156"/>
      <c r="L19" s="92"/>
      <c r="M19" s="92"/>
    </row>
    <row r="20" spans="1:11" s="92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6">
        <f>C20-B20</f>
        <v>0</v>
      </c>
    </row>
    <row r="21" spans="1:11" s="92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6">
        <f>C21-B21</f>
        <v>0</v>
      </c>
    </row>
    <row r="22" spans="1:11" s="92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6">
        <f>C22-B22</f>
        <v>0</v>
      </c>
    </row>
    <row r="23" spans="1:11" s="92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6">
        <f>C23-B23</f>
        <v>0</v>
      </c>
    </row>
    <row r="24" spans="1:11" s="92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6">
        <f>C24-B24</f>
        <v>0</v>
      </c>
    </row>
    <row r="25" spans="1:11" s="92" customFormat="1" ht="18.75" thickBot="1">
      <c r="A25" s="103" t="s">
        <v>28</v>
      </c>
      <c r="B25" s="129">
        <f>B18</f>
        <v>33417</v>
      </c>
      <c r="C25" s="129">
        <f>C18</f>
        <v>100327</v>
      </c>
      <c r="D25" s="129">
        <f>D18</f>
        <v>26149.8</v>
      </c>
      <c r="E25" s="107">
        <f>D25/D18*100</f>
        <v>100</v>
      </c>
      <c r="F25" s="107">
        <f t="shared" si="3"/>
        <v>78.25298500763085</v>
      </c>
      <c r="G25" s="107">
        <f t="shared" si="0"/>
        <v>26.064568859828363</v>
      </c>
      <c r="H25" s="105">
        <f t="shared" si="2"/>
        <v>7267.200000000001</v>
      </c>
      <c r="I25" s="105">
        <f t="shared" si="1"/>
        <v>74177.2</v>
      </c>
      <c r="K25" s="156"/>
    </row>
    <row r="26" spans="1:11" ht="57" hidden="1" thickBot="1">
      <c r="A26" s="73" t="s">
        <v>67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K26" s="156">
        <f aca="true" t="shared" si="4" ref="K26:K32">C26-B26</f>
        <v>0</v>
      </c>
    </row>
    <row r="27" spans="1:11" ht="36.75" customHeight="1" hidden="1">
      <c r="A27" s="73" t="s">
        <v>68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K27" s="156">
        <f t="shared" si="4"/>
        <v>0</v>
      </c>
    </row>
    <row r="28" spans="1:11" ht="19.5" hidden="1" thickBot="1">
      <c r="A28" s="73" t="s">
        <v>69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K28" s="156">
        <f t="shared" si="4"/>
        <v>0</v>
      </c>
    </row>
    <row r="29" spans="1:11" ht="39.75" customHeight="1" hidden="1">
      <c r="A29" s="73" t="s">
        <v>70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K29" s="156">
        <f t="shared" si="4"/>
        <v>0</v>
      </c>
    </row>
    <row r="30" spans="1:11" ht="37.5" customHeight="1" hidden="1">
      <c r="A30" s="73" t="s">
        <v>71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K30" s="156">
        <f t="shared" si="4"/>
        <v>0</v>
      </c>
    </row>
    <row r="31" spans="1:11" ht="36" customHeight="1" hidden="1">
      <c r="A31" s="73" t="s">
        <v>72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K31" s="156">
        <f t="shared" si="4"/>
        <v>0</v>
      </c>
    </row>
    <row r="32" spans="1:11" ht="19.5" hidden="1" thickBot="1">
      <c r="A32" s="73" t="s">
        <v>73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K32" s="156">
        <f t="shared" si="4"/>
        <v>0</v>
      </c>
    </row>
    <row r="33" spans="1:11" ht="18.75" thickBot="1">
      <c r="A33" s="18" t="s">
        <v>17</v>
      </c>
      <c r="B33" s="37">
        <f>1783.6+4.1</f>
        <v>1787.6999999999998</v>
      </c>
      <c r="C33" s="38">
        <v>5350.83</v>
      </c>
      <c r="D33" s="41">
        <f>364.6+44.8+35.8+191.3+646.1+25.1</f>
        <v>1307.6999999999998</v>
      </c>
      <c r="E33" s="3">
        <f>D33/D152*100</f>
        <v>1.2702628143358925</v>
      </c>
      <c r="F33" s="3">
        <f>D33/B33*100</f>
        <v>73.14985735861721</v>
      </c>
      <c r="G33" s="3">
        <f t="shared" si="0"/>
        <v>24.439199152281045</v>
      </c>
      <c r="H33" s="39">
        <f t="shared" si="2"/>
        <v>480</v>
      </c>
      <c r="I33" s="39">
        <f t="shared" si="1"/>
        <v>4043.13</v>
      </c>
      <c r="K33" s="156"/>
    </row>
    <row r="34" spans="1:11" s="92" customFormat="1" ht="18">
      <c r="A34" s="103" t="s">
        <v>3</v>
      </c>
      <c r="B34" s="128">
        <v>944.5</v>
      </c>
      <c r="C34" s="129">
        <v>2883.5</v>
      </c>
      <c r="D34" s="105">
        <f>364.6+548.1</f>
        <v>912.7</v>
      </c>
      <c r="E34" s="107">
        <f>D34/D33*100</f>
        <v>69.79429532767456</v>
      </c>
      <c r="F34" s="107">
        <f t="shared" si="3"/>
        <v>96.6331392271043</v>
      </c>
      <c r="G34" s="107">
        <f t="shared" si="0"/>
        <v>31.6525056355124</v>
      </c>
      <c r="H34" s="105">
        <f t="shared" si="2"/>
        <v>31.799999999999955</v>
      </c>
      <c r="I34" s="105">
        <f t="shared" si="1"/>
        <v>1970.8</v>
      </c>
      <c r="K34" s="156"/>
    </row>
    <row r="35" spans="1:11" s="92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K35" s="156"/>
    </row>
    <row r="36" spans="1:11" s="92" customFormat="1" ht="18">
      <c r="A36" s="103" t="s">
        <v>0</v>
      </c>
      <c r="B36" s="128">
        <v>177.1</v>
      </c>
      <c r="C36" s="129">
        <v>476.8</v>
      </c>
      <c r="D36" s="105">
        <v>0.3</v>
      </c>
      <c r="E36" s="107">
        <f>D36/D33*100</f>
        <v>0.02294104152328516</v>
      </c>
      <c r="F36" s="107">
        <f t="shared" si="3"/>
        <v>0.1693958215697346</v>
      </c>
      <c r="G36" s="107">
        <f t="shared" si="0"/>
        <v>0.06291946308724831</v>
      </c>
      <c r="H36" s="105">
        <f t="shared" si="2"/>
        <v>176.79999999999998</v>
      </c>
      <c r="I36" s="105">
        <f t="shared" si="1"/>
        <v>476.5</v>
      </c>
      <c r="K36" s="156"/>
    </row>
    <row r="37" spans="1:12" s="93" customFormat="1" ht="18.75">
      <c r="A37" s="119" t="s">
        <v>7</v>
      </c>
      <c r="B37" s="139">
        <f>78.5+5.5</f>
        <v>84</v>
      </c>
      <c r="C37" s="140">
        <v>235.5</v>
      </c>
      <c r="D37" s="110">
        <f>44.8+25.1</f>
        <v>69.9</v>
      </c>
      <c r="E37" s="114">
        <f>D37/D33*100</f>
        <v>5.345262674925443</v>
      </c>
      <c r="F37" s="114">
        <f t="shared" si="3"/>
        <v>83.21428571428572</v>
      </c>
      <c r="G37" s="114">
        <f t="shared" si="0"/>
        <v>29.681528662420387</v>
      </c>
      <c r="H37" s="110">
        <f t="shared" si="2"/>
        <v>14.099999999999994</v>
      </c>
      <c r="I37" s="110">
        <f t="shared" si="1"/>
        <v>165.6</v>
      </c>
      <c r="K37" s="156"/>
      <c r="L37" s="141"/>
    </row>
    <row r="38" spans="1:11" s="92" customFormat="1" ht="18">
      <c r="A38" s="103" t="s">
        <v>14</v>
      </c>
      <c r="B38" s="128">
        <v>5.1</v>
      </c>
      <c r="C38" s="129">
        <v>15.3</v>
      </c>
      <c r="D38" s="129">
        <v>5.1</v>
      </c>
      <c r="E38" s="107">
        <f>D38/D33*100</f>
        <v>0.3899977058958477</v>
      </c>
      <c r="F38" s="107">
        <f t="shared" si="3"/>
        <v>100</v>
      </c>
      <c r="G38" s="107">
        <f t="shared" si="0"/>
        <v>33.33333333333333</v>
      </c>
      <c r="H38" s="105">
        <f t="shared" si="2"/>
        <v>0</v>
      </c>
      <c r="I38" s="105">
        <f t="shared" si="1"/>
        <v>10.200000000000001</v>
      </c>
      <c r="K38" s="156"/>
    </row>
    <row r="39" spans="1:11" s="92" customFormat="1" ht="18.75" thickBot="1">
      <c r="A39" s="103" t="s">
        <v>28</v>
      </c>
      <c r="B39" s="128">
        <f>B33-B34-B36-B37-B35-B38</f>
        <v>576.9999999999998</v>
      </c>
      <c r="C39" s="128">
        <f>C33-C34-C36-C37-C35-C38</f>
        <v>1739.73</v>
      </c>
      <c r="D39" s="128">
        <f>D33-D34-D36-D37-D35-D38</f>
        <v>319.6999999999997</v>
      </c>
      <c r="E39" s="107">
        <f>D39/D33*100</f>
        <v>24.447503249980862</v>
      </c>
      <c r="F39" s="107">
        <f t="shared" si="3"/>
        <v>55.40727902946271</v>
      </c>
      <c r="G39" s="107">
        <f t="shared" si="0"/>
        <v>18.376414731021463</v>
      </c>
      <c r="H39" s="105">
        <f>B39-D39</f>
        <v>257.30000000000007</v>
      </c>
      <c r="I39" s="105">
        <f t="shared" si="1"/>
        <v>1420.0300000000002</v>
      </c>
      <c r="K39" s="156"/>
    </row>
    <row r="40" spans="1:11" ht="19.5" hidden="1" thickBot="1">
      <c r="A40" s="73" t="s">
        <v>64</v>
      </c>
      <c r="B40" s="74"/>
      <c r="C40" s="74"/>
      <c r="D40" s="74"/>
      <c r="E40" s="72"/>
      <c r="F40" s="72" t="e">
        <f t="shared" si="3"/>
        <v>#DIV/0!</v>
      </c>
      <c r="G40" s="72" t="e">
        <f t="shared" si="0"/>
        <v>#DIV/0!</v>
      </c>
      <c r="H40" s="78">
        <f>B40-D40</f>
        <v>0</v>
      </c>
      <c r="I40" s="78">
        <f t="shared" si="1"/>
        <v>0</v>
      </c>
      <c r="K40" s="156">
        <f>C40-B40</f>
        <v>0</v>
      </c>
    </row>
    <row r="41" spans="1:11" ht="19.5" hidden="1" thickBot="1">
      <c r="A41" s="73" t="s">
        <v>65</v>
      </c>
      <c r="B41" s="74"/>
      <c r="C41" s="74"/>
      <c r="D41" s="74"/>
      <c r="E41" s="72"/>
      <c r="F41" s="72" t="e">
        <f t="shared" si="3"/>
        <v>#DIV/0!</v>
      </c>
      <c r="G41" s="72" t="e">
        <f t="shared" si="0"/>
        <v>#DIV/0!</v>
      </c>
      <c r="H41" s="78">
        <f>B41-D41</f>
        <v>0</v>
      </c>
      <c r="I41" s="78">
        <f t="shared" si="1"/>
        <v>0</v>
      </c>
      <c r="K41" s="156">
        <f>C41-B41</f>
        <v>0</v>
      </c>
    </row>
    <row r="42" spans="1:11" ht="19.5" hidden="1" thickBot="1">
      <c r="A42" s="73" t="s">
        <v>66</v>
      </c>
      <c r="B42" s="74"/>
      <c r="C42" s="74"/>
      <c r="D42" s="74"/>
      <c r="E42" s="72"/>
      <c r="F42" s="72"/>
      <c r="G42" s="72" t="e">
        <f t="shared" si="0"/>
        <v>#DIV/0!</v>
      </c>
      <c r="H42" s="78">
        <f>B42-D42</f>
        <v>0</v>
      </c>
      <c r="I42" s="78">
        <f t="shared" si="1"/>
        <v>0</v>
      </c>
      <c r="K42" s="156">
        <f>C42-B42</f>
        <v>0</v>
      </c>
    </row>
    <row r="43" spans="1:11" ht="19.5" thickBot="1">
      <c r="A43" s="10" t="s">
        <v>16</v>
      </c>
      <c r="B43" s="75">
        <f>83.2+90.6-5.5</f>
        <v>168.3</v>
      </c>
      <c r="C43" s="38">
        <f>249.6+271.7</f>
        <v>521.3</v>
      </c>
      <c r="D43" s="39">
        <v>63.9</v>
      </c>
      <c r="E43" s="3">
        <f>D43/D152*100</f>
        <v>0.062070653694320965</v>
      </c>
      <c r="F43" s="3">
        <f>D43/B43*100</f>
        <v>37.96791443850267</v>
      </c>
      <c r="G43" s="3">
        <f t="shared" si="0"/>
        <v>12.25781699597161</v>
      </c>
      <c r="H43" s="39">
        <f t="shared" si="2"/>
        <v>104.4</v>
      </c>
      <c r="I43" s="39">
        <f t="shared" si="1"/>
        <v>457.4</v>
      </c>
      <c r="K43" s="156"/>
    </row>
    <row r="44" spans="1:11" ht="12" customHeight="1" thickBot="1">
      <c r="A44" s="21"/>
      <c r="B44" s="45"/>
      <c r="C44" s="46"/>
      <c r="D44" s="47"/>
      <c r="E44" s="5"/>
      <c r="F44" s="5"/>
      <c r="G44" s="5"/>
      <c r="H44" s="47"/>
      <c r="I44" s="47"/>
      <c r="K44" s="156"/>
    </row>
    <row r="45" spans="1:11" ht="18.75" thickBot="1">
      <c r="A45" s="18" t="s">
        <v>42</v>
      </c>
      <c r="B45" s="37">
        <v>982.3</v>
      </c>
      <c r="C45" s="38">
        <v>2947</v>
      </c>
      <c r="D45" s="39">
        <f>237.1+562.8</f>
        <v>799.9</v>
      </c>
      <c r="E45" s="3">
        <f>D45/D152*100</f>
        <v>0.7770002486711635</v>
      </c>
      <c r="F45" s="3">
        <f>D45/B45*100</f>
        <v>81.43133462282398</v>
      </c>
      <c r="G45" s="3">
        <f aca="true" t="shared" si="5" ref="G45:G76">D45/C45*100</f>
        <v>27.142857142857142</v>
      </c>
      <c r="H45" s="39">
        <f>B45-D45</f>
        <v>182.39999999999998</v>
      </c>
      <c r="I45" s="39">
        <f aca="true" t="shared" si="6" ref="I45:I77">C45-D45</f>
        <v>2147.1</v>
      </c>
      <c r="K45" s="156"/>
    </row>
    <row r="46" spans="1:11" s="92" customFormat="1" ht="18">
      <c r="A46" s="103" t="s">
        <v>3</v>
      </c>
      <c r="B46" s="128">
        <v>834.5</v>
      </c>
      <c r="C46" s="129">
        <v>2503.6</v>
      </c>
      <c r="D46" s="105">
        <f>237.1+551.8</f>
        <v>788.9</v>
      </c>
      <c r="E46" s="107">
        <f>D46/D45*100</f>
        <v>98.62482810351294</v>
      </c>
      <c r="F46" s="107">
        <f aca="true" t="shared" si="7" ref="F46:F74">D46/B46*100</f>
        <v>94.53565008987417</v>
      </c>
      <c r="G46" s="107">
        <f t="shared" si="5"/>
        <v>31.51062470043138</v>
      </c>
      <c r="H46" s="105">
        <f aca="true" t="shared" si="8" ref="H46:H74">B46-D46</f>
        <v>45.60000000000002</v>
      </c>
      <c r="I46" s="105">
        <f t="shared" si="6"/>
        <v>1714.6999999999998</v>
      </c>
      <c r="K46" s="156"/>
    </row>
    <row r="47" spans="1:11" s="92" customFormat="1" ht="18" hidden="1">
      <c r="A47" s="103" t="s">
        <v>2</v>
      </c>
      <c r="B47" s="128">
        <v>0</v>
      </c>
      <c r="C47" s="129">
        <v>0</v>
      </c>
      <c r="D47" s="105"/>
      <c r="E47" s="107">
        <f>D47/D45*100</f>
        <v>0</v>
      </c>
      <c r="F47" s="107" t="e">
        <f t="shared" si="7"/>
        <v>#DIV/0!</v>
      </c>
      <c r="G47" s="107" t="e">
        <f t="shared" si="5"/>
        <v>#DIV/0!</v>
      </c>
      <c r="H47" s="105">
        <f t="shared" si="8"/>
        <v>0</v>
      </c>
      <c r="I47" s="105">
        <f t="shared" si="6"/>
        <v>0</v>
      </c>
      <c r="K47" s="156"/>
    </row>
    <row r="48" spans="1:11" s="92" customFormat="1" ht="18">
      <c r="A48" s="103" t="s">
        <v>1</v>
      </c>
      <c r="B48" s="128">
        <v>0</v>
      </c>
      <c r="C48" s="129">
        <v>16.4</v>
      </c>
      <c r="D48" s="105"/>
      <c r="E48" s="107">
        <f>D48/D45*100</f>
        <v>0</v>
      </c>
      <c r="F48" s="107" t="e">
        <f t="shared" si="7"/>
        <v>#DIV/0!</v>
      </c>
      <c r="G48" s="107">
        <f t="shared" si="5"/>
        <v>0</v>
      </c>
      <c r="H48" s="105">
        <f t="shared" si="8"/>
        <v>0</v>
      </c>
      <c r="I48" s="105">
        <f t="shared" si="6"/>
        <v>16.4</v>
      </c>
      <c r="K48" s="156"/>
    </row>
    <row r="49" spans="1:11" s="92" customFormat="1" ht="18">
      <c r="A49" s="103" t="s">
        <v>0</v>
      </c>
      <c r="B49" s="128">
        <v>137.5</v>
      </c>
      <c r="C49" s="129">
        <v>398.2</v>
      </c>
      <c r="D49" s="105">
        <v>7.3</v>
      </c>
      <c r="E49" s="107">
        <f>D49/D45*100</f>
        <v>0.9126140767595949</v>
      </c>
      <c r="F49" s="107">
        <f t="shared" si="7"/>
        <v>5.3090909090909095</v>
      </c>
      <c r="G49" s="107">
        <f t="shared" si="5"/>
        <v>1.8332496233048718</v>
      </c>
      <c r="H49" s="105">
        <f t="shared" si="8"/>
        <v>130.2</v>
      </c>
      <c r="I49" s="105">
        <f t="shared" si="6"/>
        <v>390.9</v>
      </c>
      <c r="K49" s="156"/>
    </row>
    <row r="50" spans="1:11" s="92" customFormat="1" ht="18.75" thickBot="1">
      <c r="A50" s="103" t="s">
        <v>28</v>
      </c>
      <c r="B50" s="129">
        <f>B45-B46-B49-B48-B47</f>
        <v>10.299999999999955</v>
      </c>
      <c r="C50" s="129">
        <f>C45-C46-C49-C48-C47</f>
        <v>28.800000000000104</v>
      </c>
      <c r="D50" s="129">
        <f>D45-D46-D49-D48-D47</f>
        <v>3.7</v>
      </c>
      <c r="E50" s="107">
        <f>D50/D45*100</f>
        <v>0.4625578197274659</v>
      </c>
      <c r="F50" s="107">
        <f t="shared" si="7"/>
        <v>35.92233009708754</v>
      </c>
      <c r="G50" s="107">
        <f t="shared" si="5"/>
        <v>12.847222222222177</v>
      </c>
      <c r="H50" s="105">
        <f t="shared" si="8"/>
        <v>6.599999999999954</v>
      </c>
      <c r="I50" s="105">
        <f t="shared" si="6"/>
        <v>25.100000000000104</v>
      </c>
      <c r="K50" s="156"/>
    </row>
    <row r="51" spans="1:11" ht="18.75" thickBot="1">
      <c r="A51" s="18" t="s">
        <v>4</v>
      </c>
      <c r="B51" s="37">
        <f>2152.8-3</f>
        <v>2149.8</v>
      </c>
      <c r="C51" s="38">
        <v>6458.5</v>
      </c>
      <c r="D51" s="39">
        <f>632.9+35.2+911.5+180.2</f>
        <v>1759.8</v>
      </c>
      <c r="E51" s="3">
        <f>D51/D152*100</f>
        <v>1.7094199745112055</v>
      </c>
      <c r="F51" s="3">
        <f>D51/B51*100</f>
        <v>81.85877756070332</v>
      </c>
      <c r="G51" s="3">
        <f t="shared" si="5"/>
        <v>27.247812959665556</v>
      </c>
      <c r="H51" s="39">
        <f>B51-D51</f>
        <v>390.0000000000002</v>
      </c>
      <c r="I51" s="39">
        <f t="shared" si="6"/>
        <v>4698.7</v>
      </c>
      <c r="K51" s="156"/>
    </row>
    <row r="52" spans="1:11" s="92" customFormat="1" ht="18">
      <c r="A52" s="103" t="s">
        <v>3</v>
      </c>
      <c r="B52" s="128">
        <v>1512.6</v>
      </c>
      <c r="C52" s="129">
        <v>4517.5</v>
      </c>
      <c r="D52" s="105">
        <f>632.9+34.3+767.3</f>
        <v>1434.5</v>
      </c>
      <c r="E52" s="107">
        <f>D52/D51*100</f>
        <v>81.51494488010002</v>
      </c>
      <c r="F52" s="107">
        <f t="shared" si="7"/>
        <v>94.83670501123893</v>
      </c>
      <c r="G52" s="107">
        <f t="shared" si="5"/>
        <v>31.754288876591037</v>
      </c>
      <c r="H52" s="105">
        <f t="shared" si="8"/>
        <v>78.09999999999991</v>
      </c>
      <c r="I52" s="105">
        <f t="shared" si="6"/>
        <v>3083</v>
      </c>
      <c r="K52" s="156"/>
    </row>
    <row r="53" spans="1:11" s="92" customFormat="1" ht="18">
      <c r="A53" s="103" t="s">
        <v>2</v>
      </c>
      <c r="B53" s="128">
        <v>0</v>
      </c>
      <c r="C53" s="129">
        <v>0</v>
      </c>
      <c r="D53" s="105"/>
      <c r="E53" s="107">
        <f>D53/D51*100</f>
        <v>0</v>
      </c>
      <c r="F53" s="107" t="e">
        <f>D53/B53*100</f>
        <v>#DIV/0!</v>
      </c>
      <c r="G53" s="107" t="e">
        <f t="shared" si="5"/>
        <v>#DIV/0!</v>
      </c>
      <c r="H53" s="105">
        <f t="shared" si="8"/>
        <v>0</v>
      </c>
      <c r="I53" s="105">
        <f t="shared" si="6"/>
        <v>0</v>
      </c>
      <c r="K53" s="156"/>
    </row>
    <row r="54" spans="1:11" s="92" customFormat="1" ht="18">
      <c r="A54" s="103" t="s">
        <v>1</v>
      </c>
      <c r="B54" s="128">
        <v>31.6</v>
      </c>
      <c r="C54" s="129">
        <v>96.3</v>
      </c>
      <c r="D54" s="105">
        <v>0.2</v>
      </c>
      <c r="E54" s="107">
        <f>D54/D51*100</f>
        <v>0.011364927832708264</v>
      </c>
      <c r="F54" s="107">
        <f t="shared" si="7"/>
        <v>0.6329113924050633</v>
      </c>
      <c r="G54" s="107">
        <f t="shared" si="5"/>
        <v>0.20768431983385258</v>
      </c>
      <c r="H54" s="105">
        <f t="shared" si="8"/>
        <v>31.400000000000002</v>
      </c>
      <c r="I54" s="105">
        <f t="shared" si="6"/>
        <v>96.1</v>
      </c>
      <c r="K54" s="156"/>
    </row>
    <row r="55" spans="1:11" s="92" customFormat="1" ht="18">
      <c r="A55" s="103" t="s">
        <v>0</v>
      </c>
      <c r="B55" s="128">
        <v>87.1</v>
      </c>
      <c r="C55" s="129">
        <v>290.8</v>
      </c>
      <c r="D55" s="105">
        <v>0.5</v>
      </c>
      <c r="E55" s="107">
        <f>D55/D51*100</f>
        <v>0.028412319581770658</v>
      </c>
      <c r="F55" s="107">
        <f t="shared" si="7"/>
        <v>0.5740528128587831</v>
      </c>
      <c r="G55" s="107">
        <f t="shared" si="5"/>
        <v>0.17193947730398898</v>
      </c>
      <c r="H55" s="105">
        <f t="shared" si="8"/>
        <v>86.6</v>
      </c>
      <c r="I55" s="105">
        <f t="shared" si="6"/>
        <v>290.3</v>
      </c>
      <c r="K55" s="156"/>
    </row>
    <row r="56" spans="1:11" s="92" customFormat="1" ht="18">
      <c r="A56" s="103" t="s">
        <v>14</v>
      </c>
      <c r="B56" s="128">
        <v>110</v>
      </c>
      <c r="C56" s="129">
        <v>330</v>
      </c>
      <c r="D56" s="129"/>
      <c r="E56" s="107">
        <f>D56/D51*100</f>
        <v>0</v>
      </c>
      <c r="F56" s="107">
        <f>D56/B56*100</f>
        <v>0</v>
      </c>
      <c r="G56" s="107">
        <f>D56/C56*100</f>
        <v>0</v>
      </c>
      <c r="H56" s="105">
        <f t="shared" si="8"/>
        <v>110</v>
      </c>
      <c r="I56" s="105">
        <f t="shared" si="6"/>
        <v>330</v>
      </c>
      <c r="K56" s="156"/>
    </row>
    <row r="57" spans="1:11" s="92" customFormat="1" ht="18.75" thickBot="1">
      <c r="A57" s="103" t="s">
        <v>28</v>
      </c>
      <c r="B57" s="129">
        <f>B51-B52-B55-B54-B53-B56</f>
        <v>408.5000000000002</v>
      </c>
      <c r="C57" s="129">
        <f>C51-C52-C55-C54-C53-C56</f>
        <v>1223.9</v>
      </c>
      <c r="D57" s="129">
        <f>D51-D52-D55-D54-D53-D56</f>
        <v>324.59999999999997</v>
      </c>
      <c r="E57" s="107">
        <f>D57/D51*100</f>
        <v>18.44527787248551</v>
      </c>
      <c r="F57" s="107">
        <f t="shared" si="7"/>
        <v>79.46144430844548</v>
      </c>
      <c r="G57" s="107">
        <f t="shared" si="5"/>
        <v>26.52177465479205</v>
      </c>
      <c r="H57" s="105">
        <f>B57-D57</f>
        <v>83.90000000000026</v>
      </c>
      <c r="I57" s="105">
        <f>C57-D57</f>
        <v>899.3000000000002</v>
      </c>
      <c r="K57" s="156"/>
    </row>
    <row r="58" spans="1:11" s="30" customFormat="1" ht="19.5" hidden="1" thickBot="1">
      <c r="A58" s="73" t="s">
        <v>63</v>
      </c>
      <c r="B58" s="71"/>
      <c r="C58" s="71"/>
      <c r="D58" s="71"/>
      <c r="E58" s="1"/>
      <c r="F58" s="72" t="e">
        <f t="shared" si="7"/>
        <v>#DIV/0!</v>
      </c>
      <c r="G58" s="72" t="e">
        <f t="shared" si="5"/>
        <v>#DIV/0!</v>
      </c>
      <c r="H58" s="78">
        <f t="shared" si="8"/>
        <v>0</v>
      </c>
      <c r="I58" s="78">
        <f>C58-D58</f>
        <v>0</v>
      </c>
      <c r="K58" s="156">
        <f>C58-B58</f>
        <v>0</v>
      </c>
    </row>
    <row r="59" spans="1:11" ht="18.75" thickBot="1">
      <c r="A59" s="18" t="s">
        <v>6</v>
      </c>
      <c r="B59" s="37">
        <f>366.5-0.7</f>
        <v>365.8</v>
      </c>
      <c r="C59" s="38">
        <v>1077.7</v>
      </c>
      <c r="D59" s="39">
        <f>87.7+79.1+87.8</f>
        <v>254.60000000000002</v>
      </c>
      <c r="E59" s="3">
        <f>D59/D152*100</f>
        <v>0.24731124304497842</v>
      </c>
      <c r="F59" s="3">
        <f>D59/B59*100</f>
        <v>69.60087479496994</v>
      </c>
      <c r="G59" s="3">
        <f t="shared" si="5"/>
        <v>23.624385264916025</v>
      </c>
      <c r="H59" s="39">
        <f>B59-D59</f>
        <v>111.19999999999999</v>
      </c>
      <c r="I59" s="39">
        <f t="shared" si="6"/>
        <v>823.1</v>
      </c>
      <c r="K59" s="156"/>
    </row>
    <row r="60" spans="1:11" s="92" customFormat="1" ht="18">
      <c r="A60" s="103" t="s">
        <v>3</v>
      </c>
      <c r="B60" s="128">
        <v>247.2</v>
      </c>
      <c r="C60" s="129">
        <v>724.9</v>
      </c>
      <c r="D60" s="105">
        <f>77.7+79.1+76.9</f>
        <v>233.70000000000002</v>
      </c>
      <c r="E60" s="107">
        <f>D60/D59*100</f>
        <v>91.7910447761194</v>
      </c>
      <c r="F60" s="107">
        <f t="shared" si="7"/>
        <v>94.53883495145632</v>
      </c>
      <c r="G60" s="107">
        <f t="shared" si="5"/>
        <v>32.238929507518286</v>
      </c>
      <c r="H60" s="105">
        <f t="shared" si="8"/>
        <v>13.499999999999972</v>
      </c>
      <c r="I60" s="105">
        <f t="shared" si="6"/>
        <v>491.19999999999993</v>
      </c>
      <c r="K60" s="156"/>
    </row>
    <row r="61" spans="1:11" s="92" customFormat="1" ht="18">
      <c r="A61" s="103" t="s">
        <v>1</v>
      </c>
      <c r="B61" s="128">
        <v>0</v>
      </c>
      <c r="C61" s="129">
        <v>0</v>
      </c>
      <c r="D61" s="105"/>
      <c r="E61" s="107">
        <f>D61/D59*100</f>
        <v>0</v>
      </c>
      <c r="F61" s="107" t="e">
        <f>D61/B61*100</f>
        <v>#DIV/0!</v>
      </c>
      <c r="G61" s="107" t="e">
        <f t="shared" si="5"/>
        <v>#DIV/0!</v>
      </c>
      <c r="H61" s="105">
        <f t="shared" si="8"/>
        <v>0</v>
      </c>
      <c r="I61" s="105">
        <f t="shared" si="6"/>
        <v>0</v>
      </c>
      <c r="K61" s="156"/>
    </row>
    <row r="62" spans="1:11" s="92" customFormat="1" ht="18">
      <c r="A62" s="103" t="s">
        <v>0</v>
      </c>
      <c r="B62" s="128">
        <v>103.2</v>
      </c>
      <c r="C62" s="129">
        <v>322.2</v>
      </c>
      <c r="D62" s="105">
        <v>10.9</v>
      </c>
      <c r="E62" s="107">
        <f>D62/D59*100</f>
        <v>4.281225451688924</v>
      </c>
      <c r="F62" s="107">
        <f t="shared" si="7"/>
        <v>10.562015503875969</v>
      </c>
      <c r="G62" s="107">
        <f t="shared" si="5"/>
        <v>3.382991930477964</v>
      </c>
      <c r="H62" s="105">
        <f t="shared" si="8"/>
        <v>92.3</v>
      </c>
      <c r="I62" s="105">
        <f t="shared" si="6"/>
        <v>311.3</v>
      </c>
      <c r="K62" s="156"/>
    </row>
    <row r="63" spans="1:11" s="92" customFormat="1" ht="18">
      <c r="A63" s="103" t="s">
        <v>14</v>
      </c>
      <c r="B63" s="128">
        <v>0</v>
      </c>
      <c r="C63" s="129">
        <v>0</v>
      </c>
      <c r="D63" s="105"/>
      <c r="E63" s="107">
        <f>D63/D59*100</f>
        <v>0</v>
      </c>
      <c r="F63" s="107" t="e">
        <f t="shared" si="7"/>
        <v>#DIV/0!</v>
      </c>
      <c r="G63" s="107" t="e">
        <f t="shared" si="5"/>
        <v>#DIV/0!</v>
      </c>
      <c r="H63" s="105">
        <f t="shared" si="8"/>
        <v>0</v>
      </c>
      <c r="I63" s="105">
        <f t="shared" si="6"/>
        <v>0</v>
      </c>
      <c r="K63" s="156"/>
    </row>
    <row r="64" spans="1:11" s="92" customFormat="1" ht="18.75" thickBot="1">
      <c r="A64" s="103" t="s">
        <v>28</v>
      </c>
      <c r="B64" s="129">
        <f>B59-B60-B62-B63-B61</f>
        <v>15.40000000000002</v>
      </c>
      <c r="C64" s="129">
        <f>C59-C60-C62-C63-C61</f>
        <v>30.60000000000008</v>
      </c>
      <c r="D64" s="129">
        <f>D59-D60-D62-D63-D61</f>
        <v>10.000000000000005</v>
      </c>
      <c r="E64" s="107">
        <f>D64/D59*100</f>
        <v>3.9277297721916753</v>
      </c>
      <c r="F64" s="107">
        <f t="shared" si="7"/>
        <v>64.93506493506489</v>
      </c>
      <c r="G64" s="107">
        <f t="shared" si="5"/>
        <v>32.67973856209144</v>
      </c>
      <c r="H64" s="105">
        <f t="shared" si="8"/>
        <v>5.400000000000015</v>
      </c>
      <c r="I64" s="105">
        <f t="shared" si="6"/>
        <v>20.600000000000072</v>
      </c>
      <c r="K64" s="156"/>
    </row>
    <row r="65" spans="1:11" s="30" customFormat="1" ht="19.5" hidden="1" thickBot="1">
      <c r="A65" s="73" t="s">
        <v>74</v>
      </c>
      <c r="B65" s="71"/>
      <c r="C65" s="71"/>
      <c r="D65" s="71"/>
      <c r="E65" s="72"/>
      <c r="F65" s="72" t="e">
        <f>D65/B65*100</f>
        <v>#DIV/0!</v>
      </c>
      <c r="G65" s="72" t="e">
        <f>D65/C65*100</f>
        <v>#DIV/0!</v>
      </c>
      <c r="H65" s="78">
        <f t="shared" si="8"/>
        <v>0</v>
      </c>
      <c r="I65" s="78">
        <f t="shared" si="6"/>
        <v>0</v>
      </c>
      <c r="K65" s="156">
        <f>C65-B65</f>
        <v>0</v>
      </c>
    </row>
    <row r="66" spans="1:11" s="30" customFormat="1" ht="19.5" hidden="1" thickBot="1">
      <c r="A66" s="73" t="s">
        <v>60</v>
      </c>
      <c r="B66" s="71"/>
      <c r="C66" s="71"/>
      <c r="D66" s="71"/>
      <c r="E66" s="72"/>
      <c r="F66" s="72" t="e">
        <f t="shared" si="7"/>
        <v>#DIV/0!</v>
      </c>
      <c r="G66" s="72" t="e">
        <f t="shared" si="5"/>
        <v>#DIV/0!</v>
      </c>
      <c r="H66" s="78">
        <f t="shared" si="8"/>
        <v>0</v>
      </c>
      <c r="I66" s="78">
        <f t="shared" si="6"/>
        <v>0</v>
      </c>
      <c r="K66" s="156">
        <f>C66-B66</f>
        <v>0</v>
      </c>
    </row>
    <row r="67" spans="1:11" s="30" customFormat="1" ht="19.5" hidden="1" thickBot="1">
      <c r="A67" s="73" t="s">
        <v>61</v>
      </c>
      <c r="B67" s="71"/>
      <c r="C67" s="71"/>
      <c r="D67" s="71"/>
      <c r="E67" s="72"/>
      <c r="F67" s="72" t="e">
        <f t="shared" si="7"/>
        <v>#DIV/0!</v>
      </c>
      <c r="G67" s="72" t="e">
        <f t="shared" si="5"/>
        <v>#DIV/0!</v>
      </c>
      <c r="H67" s="78">
        <f t="shared" si="8"/>
        <v>0</v>
      </c>
      <c r="I67" s="78">
        <f t="shared" si="6"/>
        <v>0</v>
      </c>
      <c r="K67" s="156">
        <f>C67-B67</f>
        <v>0</v>
      </c>
    </row>
    <row r="68" spans="1:11" s="30" customFormat="1" ht="19.5" hidden="1" thickBot="1">
      <c r="A68" s="73" t="s">
        <v>62</v>
      </c>
      <c r="B68" s="71"/>
      <c r="C68" s="71"/>
      <c r="D68" s="71"/>
      <c r="E68" s="72"/>
      <c r="F68" s="72" t="e">
        <f t="shared" si="7"/>
        <v>#DIV/0!</v>
      </c>
      <c r="G68" s="72" t="e">
        <f t="shared" si="5"/>
        <v>#DIV/0!</v>
      </c>
      <c r="H68" s="78">
        <f t="shared" si="8"/>
        <v>0</v>
      </c>
      <c r="I68" s="78">
        <f t="shared" si="6"/>
        <v>0</v>
      </c>
      <c r="K68" s="156">
        <f>C68-B68</f>
        <v>0</v>
      </c>
    </row>
    <row r="69" spans="1:11" ht="18.75" thickBot="1">
      <c r="A69" s="18" t="s">
        <v>20</v>
      </c>
      <c r="B69" s="38">
        <f>B70+B71</f>
        <v>30.6</v>
      </c>
      <c r="C69" s="38">
        <f>C70+C71</f>
        <v>91.9</v>
      </c>
      <c r="D69" s="39">
        <f>D70+D71</f>
        <v>0</v>
      </c>
      <c r="E69" s="28">
        <f>D69/D152*100</f>
        <v>0</v>
      </c>
      <c r="F69" s="3">
        <f>D69/B69*100</f>
        <v>0</v>
      </c>
      <c r="G69" s="3">
        <f t="shared" si="5"/>
        <v>0</v>
      </c>
      <c r="H69" s="39">
        <f>B69-D69</f>
        <v>30.6</v>
      </c>
      <c r="I69" s="39">
        <f t="shared" si="6"/>
        <v>91.9</v>
      </c>
      <c r="K69" s="156"/>
    </row>
    <row r="70" spans="1:11" s="92" customFormat="1" ht="18">
      <c r="A70" s="103" t="s">
        <v>8</v>
      </c>
      <c r="B70" s="128"/>
      <c r="C70" s="129"/>
      <c r="D70" s="105"/>
      <c r="E70" s="107" t="e">
        <f>D70/D69*100</f>
        <v>#DIV/0!</v>
      </c>
      <c r="F70" s="107" t="e">
        <f t="shared" si="7"/>
        <v>#DIV/0!</v>
      </c>
      <c r="G70" s="107" t="e">
        <f t="shared" si="5"/>
        <v>#DIV/0!</v>
      </c>
      <c r="H70" s="105">
        <f t="shared" si="8"/>
        <v>0</v>
      </c>
      <c r="I70" s="105">
        <f t="shared" si="6"/>
        <v>0</v>
      </c>
      <c r="K70" s="156"/>
    </row>
    <row r="71" spans="1:11" s="92" customFormat="1" ht="18.75" thickBot="1">
      <c r="A71" s="103" t="s">
        <v>9</v>
      </c>
      <c r="B71" s="128">
        <v>30.6</v>
      </c>
      <c r="C71" s="129">
        <v>91.9</v>
      </c>
      <c r="D71" s="105"/>
      <c r="E71" s="107" t="e">
        <f>D71/D70*100</f>
        <v>#DIV/0!</v>
      </c>
      <c r="F71" s="107">
        <f t="shared" si="7"/>
        <v>0</v>
      </c>
      <c r="G71" s="107">
        <f t="shared" si="5"/>
        <v>0</v>
      </c>
      <c r="H71" s="105">
        <f t="shared" si="8"/>
        <v>30.6</v>
      </c>
      <c r="I71" s="105">
        <f t="shared" si="6"/>
        <v>91.9</v>
      </c>
      <c r="K71" s="156"/>
    </row>
    <row r="72" spans="1:11" ht="38.25" hidden="1" thickBot="1">
      <c r="A72" s="10" t="s">
        <v>39</v>
      </c>
      <c r="B72" s="44"/>
      <c r="C72" s="38">
        <f>C73+C74+C75+C76</f>
        <v>0</v>
      </c>
      <c r="D72" s="38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K72" s="156"/>
    </row>
    <row r="73" spans="1:11" ht="18.75" hidden="1">
      <c r="A73" s="14" t="s">
        <v>43</v>
      </c>
      <c r="B73" s="42"/>
      <c r="C73" s="48"/>
      <c r="D73" s="40"/>
      <c r="E73" s="25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K73" s="156"/>
    </row>
    <row r="74" spans="1:11" ht="18.75" hidden="1">
      <c r="A74" s="14" t="s">
        <v>44</v>
      </c>
      <c r="B74" s="42"/>
      <c r="C74" s="48"/>
      <c r="D74" s="40"/>
      <c r="E74" s="25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K74" s="156"/>
    </row>
    <row r="75" spans="1:11" ht="18.75" hidden="1">
      <c r="A75" s="20" t="s">
        <v>32</v>
      </c>
      <c r="B75" s="49"/>
      <c r="C75" s="50"/>
      <c r="D75" s="51"/>
      <c r="E75" s="25" t="e">
        <f>D75/D72*100</f>
        <v>#DIV/0!</v>
      </c>
      <c r="F75" s="25"/>
      <c r="G75" s="1" t="e">
        <f t="shared" si="5"/>
        <v>#DIV/0!</v>
      </c>
      <c r="H75" s="36"/>
      <c r="I75" s="36">
        <f t="shared" si="6"/>
        <v>0</v>
      </c>
      <c r="K75" s="156"/>
    </row>
    <row r="76" spans="1:11" ht="19.5" hidden="1" thickBot="1">
      <c r="A76" s="20" t="s">
        <v>40</v>
      </c>
      <c r="B76" s="49"/>
      <c r="C76" s="50"/>
      <c r="D76" s="51"/>
      <c r="E76" s="25" t="e">
        <f>D76/D72*100</f>
        <v>#DIV/0!</v>
      </c>
      <c r="F76" s="25"/>
      <c r="G76" s="1" t="e">
        <f t="shared" si="5"/>
        <v>#DIV/0!</v>
      </c>
      <c r="H76" s="36"/>
      <c r="I76" s="36">
        <f t="shared" si="6"/>
        <v>0</v>
      </c>
      <c r="K76" s="156"/>
    </row>
    <row r="77" spans="1:11" s="30" customFormat="1" ht="19.5" thickBot="1">
      <c r="A77" s="21" t="s">
        <v>13</v>
      </c>
      <c r="B77" s="45">
        <f>76.1-25.2</f>
        <v>50.89999999999999</v>
      </c>
      <c r="C77" s="52">
        <v>228.2</v>
      </c>
      <c r="D77" s="53"/>
      <c r="E77" s="33"/>
      <c r="F77" s="33"/>
      <c r="G77" s="33"/>
      <c r="H77" s="53">
        <f>B77-D77</f>
        <v>50.89999999999999</v>
      </c>
      <c r="I77" s="53">
        <f t="shared" si="6"/>
        <v>228.2</v>
      </c>
      <c r="K77" s="156"/>
    </row>
    <row r="78" spans="1:11" ht="8.25" customHeight="1" thickBot="1">
      <c r="A78" s="14"/>
      <c r="B78" s="42"/>
      <c r="C78" s="50"/>
      <c r="D78" s="51"/>
      <c r="E78" s="4"/>
      <c r="F78" s="4"/>
      <c r="G78" s="4"/>
      <c r="H78" s="51"/>
      <c r="I78" s="85"/>
      <c r="K78" s="156"/>
    </row>
    <row r="79" spans="1:11" ht="18.75" customHeight="1" hidden="1" thickBot="1">
      <c r="A79" s="10" t="s">
        <v>54</v>
      </c>
      <c r="B79" s="44"/>
      <c r="C79" s="38"/>
      <c r="D79" s="38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K79" s="156"/>
    </row>
    <row r="80" spans="1:11" s="6" customFormat="1" ht="18" hidden="1">
      <c r="A80" s="7" t="s">
        <v>53</v>
      </c>
      <c r="B80" s="54"/>
      <c r="C80" s="35"/>
      <c r="D80" s="36"/>
      <c r="E80" s="70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K80" s="156"/>
    </row>
    <row r="81" spans="1:11" s="6" customFormat="1" ht="30.75" hidden="1">
      <c r="A81" s="7" t="s">
        <v>51</v>
      </c>
      <c r="B81" s="54"/>
      <c r="C81" s="35"/>
      <c r="D81" s="36"/>
      <c r="E81" s="70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K81" s="156"/>
    </row>
    <row r="82" spans="1:11" s="6" customFormat="1" ht="16.5" customHeight="1" hidden="1">
      <c r="A82" s="7" t="s">
        <v>31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K82" s="156"/>
    </row>
    <row r="83" spans="1:11" s="6" customFormat="1" ht="33" customHeight="1" hidden="1" thickBot="1">
      <c r="A83" s="7" t="s">
        <v>37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K83" s="156"/>
    </row>
    <row r="84" spans="1:11" ht="35.25" customHeight="1" hidden="1" thickBot="1">
      <c r="A84" s="10" t="s">
        <v>33</v>
      </c>
      <c r="B84" s="44"/>
      <c r="C84" s="38"/>
      <c r="D84" s="38"/>
      <c r="E84" s="3">
        <f>D84/D152*100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K84" s="156"/>
    </row>
    <row r="85" spans="1:11" ht="16.5" customHeight="1" hidden="1">
      <c r="A85" s="19" t="s">
        <v>24</v>
      </c>
      <c r="B85" s="34"/>
      <c r="C85" s="50"/>
      <c r="D85" s="50"/>
      <c r="E85" s="4" t="e">
        <f>D85/D84*100</f>
        <v>#DIV/0!</v>
      </c>
      <c r="F85" s="4"/>
      <c r="G85" s="4" t="e">
        <f t="shared" si="9"/>
        <v>#DIV/0!</v>
      </c>
      <c r="H85" s="51"/>
      <c r="I85" s="36">
        <f t="shared" si="10"/>
        <v>0</v>
      </c>
      <c r="K85" s="156"/>
    </row>
    <row r="86" spans="1:11" ht="16.5" customHeight="1" hidden="1" thickBot="1">
      <c r="A86" s="19" t="s">
        <v>25</v>
      </c>
      <c r="B86" s="34"/>
      <c r="C86" s="50"/>
      <c r="D86" s="50"/>
      <c r="E86" s="4" t="e">
        <f>D86/D84*100</f>
        <v>#DIV/0!</v>
      </c>
      <c r="F86" s="4"/>
      <c r="G86" s="4" t="e">
        <f t="shared" si="9"/>
        <v>#DIV/0!</v>
      </c>
      <c r="H86" s="51"/>
      <c r="I86" s="36">
        <f t="shared" si="10"/>
        <v>0</v>
      </c>
      <c r="K86" s="156"/>
    </row>
    <row r="87" spans="1:11" ht="34.5" customHeight="1" hidden="1" thickBot="1">
      <c r="A87" s="10" t="s">
        <v>34</v>
      </c>
      <c r="B87" s="44"/>
      <c r="C87" s="38"/>
      <c r="D87" s="38"/>
      <c r="E87" s="3">
        <f>D87/D152*100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K87" s="156"/>
    </row>
    <row r="88" spans="1:11" ht="17.25" customHeight="1" hidden="1">
      <c r="A88" s="19" t="s">
        <v>24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K88" s="156"/>
    </row>
    <row r="89" spans="1:11" ht="17.25" customHeight="1" hidden="1" thickBot="1">
      <c r="A89" s="19" t="s">
        <v>25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K89" s="156"/>
    </row>
    <row r="90" spans="1:11" ht="19.5" thickBot="1">
      <c r="A90" s="10" t="s">
        <v>10</v>
      </c>
      <c r="B90" s="44">
        <f>13364.7-393.5-16.7+25.2+29.8+328.3</f>
        <v>13337.8</v>
      </c>
      <c r="C90" s="38">
        <f>40094.1-1180.6-50</f>
        <v>38863.5</v>
      </c>
      <c r="D90" s="39">
        <f>3076.1+1190.1+85.4+19.6+5.2+812.5+1196.5+4.7+5442.2+898.8+0.6</f>
        <v>12731.699999999999</v>
      </c>
      <c r="E90" s="3">
        <f>D90/D152*100</f>
        <v>12.367213484193838</v>
      </c>
      <c r="F90" s="3">
        <f aca="true" t="shared" si="11" ref="F90:F96">D90/B90*100</f>
        <v>95.45577231627405</v>
      </c>
      <c r="G90" s="3">
        <f t="shared" si="9"/>
        <v>32.760044772086914</v>
      </c>
      <c r="H90" s="39">
        <f aca="true" t="shared" si="12" ref="H90:H96">B90-D90</f>
        <v>606.1000000000004</v>
      </c>
      <c r="I90" s="39">
        <f t="shared" si="10"/>
        <v>26131.800000000003</v>
      </c>
      <c r="J90" s="92"/>
      <c r="K90" s="156"/>
    </row>
    <row r="91" spans="1:11" s="92" customFormat="1" ht="18">
      <c r="A91" s="103" t="s">
        <v>3</v>
      </c>
      <c r="B91" s="128">
        <f>25+12517.8+27.4+362.7</f>
        <v>12932.9</v>
      </c>
      <c r="C91" s="129">
        <v>37361.9</v>
      </c>
      <c r="D91" s="105">
        <f>3071.3+1190.01+77.9+810.1+1179.1+5434.9+841.3</f>
        <v>12604.609999999999</v>
      </c>
      <c r="E91" s="107">
        <f>D91/D90*100</f>
        <v>99.00178295121626</v>
      </c>
      <c r="F91" s="107">
        <f t="shared" si="11"/>
        <v>97.46159020791933</v>
      </c>
      <c r="G91" s="107">
        <f t="shared" si="9"/>
        <v>33.73653374159237</v>
      </c>
      <c r="H91" s="105">
        <f t="shared" si="12"/>
        <v>328.2900000000009</v>
      </c>
      <c r="I91" s="105">
        <f t="shared" si="10"/>
        <v>24757.29</v>
      </c>
      <c r="K91" s="156"/>
    </row>
    <row r="92" spans="1:11" s="92" customFormat="1" ht="18">
      <c r="A92" s="103" t="s">
        <v>26</v>
      </c>
      <c r="B92" s="128">
        <v>171</v>
      </c>
      <c r="C92" s="129">
        <v>513.1</v>
      </c>
      <c r="D92" s="105">
        <v>57.2</v>
      </c>
      <c r="E92" s="107">
        <f>D92/D90*100</f>
        <v>0.44927228885380593</v>
      </c>
      <c r="F92" s="107">
        <f t="shared" si="11"/>
        <v>33.45029239766082</v>
      </c>
      <c r="G92" s="107">
        <f t="shared" si="9"/>
        <v>11.147924381212238</v>
      </c>
      <c r="H92" s="105">
        <f t="shared" si="12"/>
        <v>113.8</v>
      </c>
      <c r="I92" s="105">
        <f t="shared" si="10"/>
        <v>455.90000000000003</v>
      </c>
      <c r="K92" s="156"/>
    </row>
    <row r="93" spans="1:11" s="92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2" customFormat="1" ht="18.75" thickBot="1">
      <c r="A94" s="103" t="s">
        <v>28</v>
      </c>
      <c r="B94" s="129">
        <f>B90-B91-B92-B93</f>
        <v>233.89999999999964</v>
      </c>
      <c r="C94" s="129">
        <f>C90-C91-C92-C93</f>
        <v>988.4999999999985</v>
      </c>
      <c r="D94" s="129">
        <f>D90-D91-D92-D93</f>
        <v>69.89000000000014</v>
      </c>
      <c r="E94" s="107">
        <f>D94/D90*100</f>
        <v>0.5489447599299399</v>
      </c>
      <c r="F94" s="107">
        <f t="shared" si="11"/>
        <v>29.880290722531104</v>
      </c>
      <c r="G94" s="107">
        <f>D94/C94*100</f>
        <v>7.070308548305539</v>
      </c>
      <c r="H94" s="105">
        <f t="shared" si="12"/>
        <v>164.00999999999948</v>
      </c>
      <c r="I94" s="105">
        <f>C94-D94</f>
        <v>918.6099999999984</v>
      </c>
      <c r="K94" s="156"/>
    </row>
    <row r="95" spans="1:11" ht="18.75">
      <c r="A95" s="81" t="s">
        <v>12</v>
      </c>
      <c r="B95" s="90">
        <f>2841.3-97.3+528.7</f>
        <v>3272.7</v>
      </c>
      <c r="C95" s="84">
        <v>8523.8</v>
      </c>
      <c r="D95" s="83">
        <f>627.6+194.6+194.6+1234</f>
        <v>2250.8</v>
      </c>
      <c r="E95" s="80">
        <f>D95/D152*100</f>
        <v>2.186363495073203</v>
      </c>
      <c r="F95" s="82">
        <f t="shared" si="11"/>
        <v>68.77501756959087</v>
      </c>
      <c r="G95" s="79">
        <f>D95/C95*100</f>
        <v>26.40606302353411</v>
      </c>
      <c r="H95" s="83">
        <f t="shared" si="12"/>
        <v>1021.8999999999996</v>
      </c>
      <c r="I95" s="86">
        <f>C95-D95</f>
        <v>6272.999999999999</v>
      </c>
      <c r="K95" s="156"/>
    </row>
    <row r="96" spans="1:11" s="92" customFormat="1" ht="18.75" thickBot="1">
      <c r="A96" s="131" t="s">
        <v>81</v>
      </c>
      <c r="B96" s="132">
        <f>967.9-67.9+528.7</f>
        <v>1428.7</v>
      </c>
      <c r="C96" s="133">
        <v>2903.7</v>
      </c>
      <c r="D96" s="134">
        <f>194.6+1234</f>
        <v>1428.6</v>
      </c>
      <c r="E96" s="135">
        <f>D96/D95*100</f>
        <v>63.47076594988448</v>
      </c>
      <c r="F96" s="136">
        <f t="shared" si="11"/>
        <v>99.9930006299433</v>
      </c>
      <c r="G96" s="137">
        <f>D96/C96*100</f>
        <v>49.19929744808348</v>
      </c>
      <c r="H96" s="138">
        <f t="shared" si="12"/>
        <v>0.10000000000013642</v>
      </c>
      <c r="I96" s="127">
        <f>C96-D96</f>
        <v>1475.1</v>
      </c>
      <c r="K96" s="156"/>
    </row>
    <row r="97" spans="1:11" ht="8.25" customHeight="1" thickBot="1">
      <c r="A97" s="14"/>
      <c r="B97" s="42"/>
      <c r="C97" s="50"/>
      <c r="D97" s="51"/>
      <c r="E97" s="4"/>
      <c r="F97" s="4"/>
      <c r="G97" s="4"/>
      <c r="H97" s="51"/>
      <c r="I97" s="51"/>
      <c r="K97" s="156"/>
    </row>
    <row r="98" spans="1:11" ht="19.5" hidden="1" thickBot="1">
      <c r="A98" s="23" t="s">
        <v>35</v>
      </c>
      <c r="B98" s="58"/>
      <c r="C98" s="59"/>
      <c r="D98" s="60"/>
      <c r="E98" s="3">
        <f>D98/D152*100</f>
        <v>0</v>
      </c>
      <c r="F98" s="3"/>
      <c r="G98" s="3" t="e">
        <f>D98/C98*100</f>
        <v>#DIV/0!</v>
      </c>
      <c r="H98" s="39"/>
      <c r="I98" s="39">
        <f>C98-D98</f>
        <v>0</v>
      </c>
      <c r="K98" s="156">
        <f t="shared" si="13"/>
        <v>0</v>
      </c>
    </row>
    <row r="99" spans="1:11" ht="5.25" customHeight="1" hidden="1" thickBot="1">
      <c r="A99" s="22"/>
      <c r="B99" s="55"/>
      <c r="C99" s="56"/>
      <c r="D99" s="57"/>
      <c r="E99" s="11"/>
      <c r="F99" s="4"/>
      <c r="G99" s="4"/>
      <c r="H99" s="51"/>
      <c r="I99" s="85"/>
      <c r="K99" s="156">
        <f t="shared" si="13"/>
        <v>0</v>
      </c>
    </row>
    <row r="100" spans="1:11" s="12" customFormat="1" ht="36" customHeight="1" hidden="1" thickBot="1">
      <c r="A100" s="10" t="s">
        <v>49</v>
      </c>
      <c r="B100" s="44"/>
      <c r="C100" s="38"/>
      <c r="D100" s="39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K100" s="156">
        <f t="shared" si="13"/>
        <v>0</v>
      </c>
    </row>
    <row r="101" spans="1:11" ht="6.75" customHeight="1" hidden="1" thickBot="1">
      <c r="A101" s="76"/>
      <c r="B101" s="77"/>
      <c r="C101" s="56"/>
      <c r="D101" s="57"/>
      <c r="E101" s="11"/>
      <c r="F101" s="4"/>
      <c r="G101" s="4"/>
      <c r="H101" s="51"/>
      <c r="I101" s="85"/>
      <c r="K101" s="156">
        <f t="shared" si="13"/>
        <v>0</v>
      </c>
    </row>
    <row r="102" spans="1:11" s="30" customFormat="1" ht="19.5" thickBot="1">
      <c r="A102" s="10" t="s">
        <v>11</v>
      </c>
      <c r="B102" s="89">
        <v>866.7</v>
      </c>
      <c r="C102" s="69">
        <v>2621.7</v>
      </c>
      <c r="D102" s="64">
        <f>144.5+120.5+0.1+30.9</f>
        <v>296</v>
      </c>
      <c r="E102" s="15">
        <f>D102/D152*100</f>
        <v>0.28752603276242583</v>
      </c>
      <c r="F102" s="15">
        <f>D102/B102*100</f>
        <v>34.152532594900194</v>
      </c>
      <c r="G102" s="15">
        <f aca="true" t="shared" si="14" ref="G102:G150">D102/C102*100</f>
        <v>11.290384101918603</v>
      </c>
      <c r="H102" s="64">
        <f aca="true" t="shared" si="15" ref="H102:H107">B102-D102</f>
        <v>570.7</v>
      </c>
      <c r="I102" s="64">
        <f aca="true" t="shared" si="16" ref="I102:I150">C102-D102</f>
        <v>2325.7</v>
      </c>
      <c r="K102" s="156"/>
    </row>
    <row r="103" spans="1:11" s="92" customFormat="1" ht="18.75" customHeight="1" hidden="1">
      <c r="A103" s="103" t="s">
        <v>3</v>
      </c>
      <c r="B103" s="120">
        <v>0</v>
      </c>
      <c r="C103" s="121">
        <v>0</v>
      </c>
      <c r="D103" s="121"/>
      <c r="E103" s="122">
        <f>D103/D102*100</f>
        <v>0</v>
      </c>
      <c r="F103" s="107" t="e">
        <f>D103/B103*100</f>
        <v>#DIV/0!</v>
      </c>
      <c r="G103" s="122" t="e">
        <f>D103/C103*100</f>
        <v>#DIV/0!</v>
      </c>
      <c r="H103" s="121">
        <f t="shared" si="15"/>
        <v>0</v>
      </c>
      <c r="I103" s="121">
        <f t="shared" si="16"/>
        <v>0</v>
      </c>
      <c r="K103" s="156"/>
    </row>
    <row r="104" spans="1:11" s="92" customFormat="1" ht="18">
      <c r="A104" s="123" t="s">
        <v>46</v>
      </c>
      <c r="B104" s="104">
        <v>565.6</v>
      </c>
      <c r="C104" s="105">
        <v>1703.5</v>
      </c>
      <c r="D104" s="105">
        <f>144.4+120.5+0.1+30.9</f>
        <v>295.9</v>
      </c>
      <c r="E104" s="107">
        <f>D104/D102*100</f>
        <v>99.96621621621621</v>
      </c>
      <c r="F104" s="107">
        <f aca="true" t="shared" si="17" ref="F104:F150">D104/B104*100</f>
        <v>52.31612446958981</v>
      </c>
      <c r="G104" s="107">
        <f t="shared" si="14"/>
        <v>17.370120340475488</v>
      </c>
      <c r="H104" s="105">
        <f t="shared" si="15"/>
        <v>269.70000000000005</v>
      </c>
      <c r="I104" s="105">
        <f t="shared" si="16"/>
        <v>1407.6</v>
      </c>
      <c r="K104" s="156"/>
    </row>
    <row r="105" spans="1:11" s="92" customFormat="1" ht="54.75" hidden="1" thickBot="1">
      <c r="A105" s="124" t="s">
        <v>77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K105" s="156"/>
    </row>
    <row r="106" spans="1:11" s="92" customFormat="1" ht="18.75" thickBot="1">
      <c r="A106" s="124" t="s">
        <v>28</v>
      </c>
      <c r="B106" s="125">
        <f>B102-B103-B104</f>
        <v>301.1</v>
      </c>
      <c r="C106" s="125">
        <f>C102-C103-C104</f>
        <v>918.1999999999998</v>
      </c>
      <c r="D106" s="125">
        <f>D102-D103-D104</f>
        <v>0.10000000000002274</v>
      </c>
      <c r="E106" s="126">
        <f>D106/D102*100</f>
        <v>0.03378378378379147</v>
      </c>
      <c r="F106" s="126">
        <f t="shared" si="17"/>
        <v>0.033211557622060024</v>
      </c>
      <c r="G106" s="126">
        <f t="shared" si="14"/>
        <v>0.010890873448053012</v>
      </c>
      <c r="H106" s="127">
        <f>B106-D106</f>
        <v>301</v>
      </c>
      <c r="I106" s="127">
        <f t="shared" si="16"/>
        <v>918.0999999999998</v>
      </c>
      <c r="K106" s="156"/>
    </row>
    <row r="107" spans="1:12" s="2" customFormat="1" ht="26.25" customHeight="1" thickBot="1">
      <c r="A107" s="65" t="s">
        <v>29</v>
      </c>
      <c r="B107" s="66">
        <f>SUM(B108:B149)-B115-B119+B150-B140-B141-B109-B112-B122-B123-B138-B131-B129-B136</f>
        <v>10814.1</v>
      </c>
      <c r="C107" s="66">
        <f>SUM(C108:C149)-C115-C119+C150-C140-C141-C109-C112-C122-C123-C138-C131-C129-C136</f>
        <v>31564.5</v>
      </c>
      <c r="D107" s="66">
        <f>SUM(D108:D149)-D115-D119+D150-D140-D141-D109-D112-D122-D123-D138-D131-D129-D136</f>
        <v>7823.599999999999</v>
      </c>
      <c r="E107" s="67">
        <f>D107/D152*100</f>
        <v>7.599623884865251</v>
      </c>
      <c r="F107" s="67">
        <f>D107/B107*100</f>
        <v>72.34628864168076</v>
      </c>
      <c r="G107" s="67">
        <f t="shared" si="14"/>
        <v>24.786072961713316</v>
      </c>
      <c r="H107" s="66">
        <f t="shared" si="15"/>
        <v>2990.500000000001</v>
      </c>
      <c r="I107" s="66">
        <f t="shared" si="16"/>
        <v>23740.9</v>
      </c>
      <c r="K107" s="156"/>
      <c r="L107" s="95"/>
    </row>
    <row r="108" spans="1:12" s="92" customFormat="1" ht="37.5">
      <c r="A108" s="96" t="s">
        <v>50</v>
      </c>
      <c r="B108" s="97">
        <v>393.5</v>
      </c>
      <c r="C108" s="98">
        <v>1180.6</v>
      </c>
      <c r="D108" s="99">
        <v>17.1</v>
      </c>
      <c r="E108" s="100">
        <f>D108/D107*100</f>
        <v>0.21856945651618187</v>
      </c>
      <c r="F108" s="100">
        <f t="shared" si="17"/>
        <v>4.345616264294791</v>
      </c>
      <c r="G108" s="100">
        <f t="shared" si="14"/>
        <v>1.4484160596306965</v>
      </c>
      <c r="H108" s="101">
        <f aca="true" t="shared" si="18" ref="H108:H150">B108-D108</f>
        <v>376.4</v>
      </c>
      <c r="I108" s="101">
        <f t="shared" si="16"/>
        <v>1163.5</v>
      </c>
      <c r="K108" s="156"/>
      <c r="L108" s="102"/>
    </row>
    <row r="109" spans="1:12" s="92" customFormat="1" ht="18.75">
      <c r="A109" s="103" t="s">
        <v>26</v>
      </c>
      <c r="B109" s="104">
        <v>175.8</v>
      </c>
      <c r="C109" s="105">
        <v>527.5</v>
      </c>
      <c r="D109" s="106"/>
      <c r="E109" s="107">
        <f>D109/D108*100</f>
        <v>0</v>
      </c>
      <c r="F109" s="107">
        <f t="shared" si="17"/>
        <v>0</v>
      </c>
      <c r="G109" s="107">
        <f t="shared" si="14"/>
        <v>0</v>
      </c>
      <c r="H109" s="105">
        <f t="shared" si="18"/>
        <v>175.8</v>
      </c>
      <c r="I109" s="105">
        <f t="shared" si="16"/>
        <v>527.5</v>
      </c>
      <c r="K109" s="156"/>
      <c r="L109" s="102"/>
    </row>
    <row r="110" spans="1:12" s="92" customFormat="1" ht="34.5" customHeight="1" hidden="1">
      <c r="A110" s="108" t="s">
        <v>76</v>
      </c>
      <c r="B110" s="109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6"/>
      <c r="L110" s="102"/>
    </row>
    <row r="111" spans="1:12" s="93" customFormat="1" ht="34.5" customHeight="1">
      <c r="A111" s="108" t="s">
        <v>91</v>
      </c>
      <c r="B111" s="109">
        <v>3.3</v>
      </c>
      <c r="C111" s="110">
        <v>9.9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3.3</v>
      </c>
      <c r="I111" s="101">
        <f t="shared" si="16"/>
        <v>9.9</v>
      </c>
      <c r="K111" s="156"/>
      <c r="L111" s="102"/>
    </row>
    <row r="112" spans="1:12" s="92" customFormat="1" ht="18.75" hidden="1">
      <c r="A112" s="103" t="s">
        <v>26</v>
      </c>
      <c r="B112" s="104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6"/>
      <c r="L112" s="102"/>
    </row>
    <row r="113" spans="1:12" s="92" customFormat="1" ht="18.75" hidden="1">
      <c r="A113" s="108" t="s">
        <v>87</v>
      </c>
      <c r="B113" s="109"/>
      <c r="C113" s="101"/>
      <c r="D113" s="99"/>
      <c r="E113" s="100">
        <f>D113/D107*100</f>
        <v>0</v>
      </c>
      <c r="F113" s="100" t="e">
        <f t="shared" si="17"/>
        <v>#DIV/0!</v>
      </c>
      <c r="G113" s="100" t="e">
        <f t="shared" si="14"/>
        <v>#DIV/0!</v>
      </c>
      <c r="H113" s="101">
        <f t="shared" si="18"/>
        <v>0</v>
      </c>
      <c r="I113" s="101">
        <f t="shared" si="16"/>
        <v>0</v>
      </c>
      <c r="K113" s="156"/>
      <c r="L113" s="102"/>
    </row>
    <row r="114" spans="1:12" s="92" customFormat="1" ht="37.5">
      <c r="A114" s="108" t="s">
        <v>36</v>
      </c>
      <c r="B114" s="109">
        <v>245.3</v>
      </c>
      <c r="C114" s="101">
        <v>735.9</v>
      </c>
      <c r="D114" s="99">
        <f>136.4+10+40</f>
        <v>186.4</v>
      </c>
      <c r="E114" s="100">
        <f>D114/D107*100</f>
        <v>2.3825348944220055</v>
      </c>
      <c r="F114" s="100">
        <f t="shared" si="17"/>
        <v>75.98858540562577</v>
      </c>
      <c r="G114" s="100">
        <f t="shared" si="14"/>
        <v>25.329528468541923</v>
      </c>
      <c r="H114" s="101">
        <f t="shared" si="18"/>
        <v>58.900000000000006</v>
      </c>
      <c r="I114" s="101">
        <f t="shared" si="16"/>
        <v>549.5</v>
      </c>
      <c r="K114" s="156"/>
      <c r="L114" s="102"/>
    </row>
    <row r="115" spans="1:12" s="92" customFormat="1" ht="18.75" hidden="1">
      <c r="A115" s="113" t="s">
        <v>41</v>
      </c>
      <c r="B115" s="104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6"/>
      <c r="L115" s="102"/>
    </row>
    <row r="116" spans="1:12" s="93" customFormat="1" ht="18.75" customHeight="1" hidden="1">
      <c r="A116" s="108" t="s">
        <v>88</v>
      </c>
      <c r="B116" s="109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K116" s="156"/>
      <c r="L116" s="102"/>
    </row>
    <row r="117" spans="1:12" s="92" customFormat="1" ht="37.5">
      <c r="A117" s="108" t="s">
        <v>45</v>
      </c>
      <c r="B117" s="109">
        <v>10.1</v>
      </c>
      <c r="C117" s="101">
        <v>30.3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10.1</v>
      </c>
      <c r="I117" s="101">
        <f t="shared" si="16"/>
        <v>30.3</v>
      </c>
      <c r="K117" s="156"/>
      <c r="L117" s="102"/>
    </row>
    <row r="118" spans="1:12" s="115" customFormat="1" ht="18.75">
      <c r="A118" s="108" t="s">
        <v>15</v>
      </c>
      <c r="B118" s="109">
        <v>45.4</v>
      </c>
      <c r="C118" s="110">
        <v>136.2</v>
      </c>
      <c r="D118" s="99"/>
      <c r="E118" s="100">
        <f>D118/D107*100</f>
        <v>0</v>
      </c>
      <c r="F118" s="100">
        <f t="shared" si="17"/>
        <v>0</v>
      </c>
      <c r="G118" s="100">
        <f t="shared" si="14"/>
        <v>0</v>
      </c>
      <c r="H118" s="101">
        <f t="shared" si="18"/>
        <v>45.4</v>
      </c>
      <c r="I118" s="101">
        <f t="shared" si="16"/>
        <v>136.2</v>
      </c>
      <c r="K118" s="156"/>
      <c r="L118" s="102"/>
    </row>
    <row r="119" spans="1:12" s="116" customFormat="1" ht="18.75">
      <c r="A119" s="113" t="s">
        <v>41</v>
      </c>
      <c r="B119" s="104">
        <v>43.2</v>
      </c>
      <c r="C119" s="105">
        <v>129.6</v>
      </c>
      <c r="D119" s="106"/>
      <c r="E119" s="107" t="e">
        <f>D119/D118*100</f>
        <v>#DIV/0!</v>
      </c>
      <c r="F119" s="107">
        <f t="shared" si="17"/>
        <v>0</v>
      </c>
      <c r="G119" s="107">
        <f t="shared" si="14"/>
        <v>0</v>
      </c>
      <c r="H119" s="105">
        <f t="shared" si="18"/>
        <v>43.2</v>
      </c>
      <c r="I119" s="105">
        <f t="shared" si="16"/>
        <v>129.6</v>
      </c>
      <c r="K119" s="156"/>
      <c r="L119" s="102"/>
    </row>
    <row r="120" spans="1:12" s="115" customFormat="1" ht="18.75" hidden="1">
      <c r="A120" s="108" t="s">
        <v>21</v>
      </c>
      <c r="B120" s="109"/>
      <c r="C120" s="110"/>
      <c r="D120" s="99"/>
      <c r="E120" s="100">
        <f>D120/D107*100</f>
        <v>0</v>
      </c>
      <c r="F120" s="100" t="e">
        <f t="shared" si="17"/>
        <v>#DIV/0!</v>
      </c>
      <c r="G120" s="100" t="e">
        <f t="shared" si="14"/>
        <v>#DIV/0!</v>
      </c>
      <c r="H120" s="101">
        <f t="shared" si="18"/>
        <v>0</v>
      </c>
      <c r="I120" s="101">
        <f t="shared" si="16"/>
        <v>0</v>
      </c>
      <c r="K120" s="156"/>
      <c r="L120" s="102"/>
    </row>
    <row r="121" spans="1:12" s="115" customFormat="1" ht="21.75" customHeight="1">
      <c r="A121" s="108" t="s">
        <v>92</v>
      </c>
      <c r="B121" s="109">
        <f>15.1-8.4</f>
        <v>6.699999999999999</v>
      </c>
      <c r="C121" s="110">
        <v>45.2</v>
      </c>
      <c r="D121" s="111"/>
      <c r="E121" s="114">
        <f>D121/D107*100</f>
        <v>0</v>
      </c>
      <c r="F121" s="100">
        <f t="shared" si="17"/>
        <v>0</v>
      </c>
      <c r="G121" s="100">
        <f t="shared" si="14"/>
        <v>0</v>
      </c>
      <c r="H121" s="101">
        <f t="shared" si="18"/>
        <v>6.699999999999999</v>
      </c>
      <c r="I121" s="101">
        <f t="shared" si="16"/>
        <v>45.2</v>
      </c>
      <c r="K121" s="156"/>
      <c r="L121" s="102"/>
    </row>
    <row r="122" spans="1:12" s="118" customFormat="1" ht="18.75" hidden="1">
      <c r="A122" s="103" t="s">
        <v>78</v>
      </c>
      <c r="B122" s="104"/>
      <c r="C122" s="10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6"/>
      <c r="L122" s="102"/>
    </row>
    <row r="123" spans="1:12" s="118" customFormat="1" ht="18.75" hidden="1">
      <c r="A123" s="103" t="s">
        <v>47</v>
      </c>
      <c r="B123" s="104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6"/>
      <c r="L123" s="102"/>
    </row>
    <row r="124" spans="1:12" s="115" customFormat="1" ht="37.5">
      <c r="A124" s="108" t="s">
        <v>93</v>
      </c>
      <c r="B124" s="109">
        <v>3529.6</v>
      </c>
      <c r="C124" s="110">
        <v>10588.8</v>
      </c>
      <c r="D124" s="111">
        <v>3529.6</v>
      </c>
      <c r="E124" s="114">
        <f>D124/D107*100</f>
        <v>45.114780919269904</v>
      </c>
      <c r="F124" s="100">
        <f t="shared" si="17"/>
        <v>100</v>
      </c>
      <c r="G124" s="100">
        <f t="shared" si="14"/>
        <v>33.333333333333336</v>
      </c>
      <c r="H124" s="101">
        <f t="shared" si="18"/>
        <v>0</v>
      </c>
      <c r="I124" s="101">
        <f t="shared" si="16"/>
        <v>7059.199999999999</v>
      </c>
      <c r="K124" s="156"/>
      <c r="L124" s="102"/>
    </row>
    <row r="125" spans="1:12" s="115" customFormat="1" ht="18.75">
      <c r="A125" s="108" t="s">
        <v>89</v>
      </c>
      <c r="B125" s="109">
        <v>59.4</v>
      </c>
      <c r="C125" s="110">
        <v>178.2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59.4</v>
      </c>
      <c r="I125" s="101">
        <f t="shared" si="16"/>
        <v>178.2</v>
      </c>
      <c r="K125" s="156"/>
      <c r="L125" s="102"/>
    </row>
    <row r="126" spans="1:12" s="115" customFormat="1" ht="37.5">
      <c r="A126" s="108" t="s">
        <v>98</v>
      </c>
      <c r="B126" s="109">
        <v>16.7</v>
      </c>
      <c r="C126" s="110">
        <v>50.1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16.7</v>
      </c>
      <c r="I126" s="101">
        <f t="shared" si="16"/>
        <v>50.1</v>
      </c>
      <c r="K126" s="156"/>
      <c r="L126" s="102"/>
    </row>
    <row r="127" spans="1:12" s="115" customFormat="1" ht="37.5">
      <c r="A127" s="108" t="s">
        <v>83</v>
      </c>
      <c r="B127" s="109">
        <v>41.3</v>
      </c>
      <c r="C127" s="110">
        <v>123.9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41.3</v>
      </c>
      <c r="I127" s="101">
        <f t="shared" si="16"/>
        <v>123.9</v>
      </c>
      <c r="K127" s="156"/>
      <c r="L127" s="102"/>
    </row>
    <row r="128" spans="1:12" s="115" customFormat="1" ht="37.5">
      <c r="A128" s="108" t="s">
        <v>55</v>
      </c>
      <c r="B128" s="109">
        <v>96.1</v>
      </c>
      <c r="C128" s="110">
        <v>288.3</v>
      </c>
      <c r="D128" s="111">
        <f>7+4.2</f>
        <v>11.2</v>
      </c>
      <c r="E128" s="114">
        <f>D128/D107*100</f>
        <v>0.1431566030983179</v>
      </c>
      <c r="F128" s="100">
        <f t="shared" si="17"/>
        <v>11.65452653485952</v>
      </c>
      <c r="G128" s="100">
        <f t="shared" si="14"/>
        <v>3.8848421782865064</v>
      </c>
      <c r="H128" s="101">
        <f t="shared" si="18"/>
        <v>84.89999999999999</v>
      </c>
      <c r="I128" s="101">
        <f t="shared" si="16"/>
        <v>277.1</v>
      </c>
      <c r="K128" s="156"/>
      <c r="L128" s="102"/>
    </row>
    <row r="129" spans="1:12" s="116" customFormat="1" ht="18.75">
      <c r="A129" s="103" t="s">
        <v>86</v>
      </c>
      <c r="B129" s="104">
        <v>7</v>
      </c>
      <c r="C129" s="105">
        <v>65.2</v>
      </c>
      <c r="D129" s="106">
        <v>7</v>
      </c>
      <c r="E129" s="107">
        <f>D129/D128*100</f>
        <v>62.5</v>
      </c>
      <c r="F129" s="107">
        <f>D129/B129*100</f>
        <v>100</v>
      </c>
      <c r="G129" s="107">
        <f t="shared" si="14"/>
        <v>10.736196319018404</v>
      </c>
      <c r="H129" s="105">
        <f t="shared" si="18"/>
        <v>0</v>
      </c>
      <c r="I129" s="105">
        <f t="shared" si="16"/>
        <v>58.2</v>
      </c>
      <c r="K129" s="156"/>
      <c r="L129" s="102"/>
    </row>
    <row r="130" spans="1:12" s="115" customFormat="1" ht="37.5" hidden="1">
      <c r="A130" s="108" t="s">
        <v>101</v>
      </c>
      <c r="B130" s="109"/>
      <c r="C130" s="110"/>
      <c r="D130" s="111"/>
      <c r="E130" s="114">
        <f>D130/D107*100</f>
        <v>0</v>
      </c>
      <c r="F130" s="112" t="e">
        <f t="shared" si="17"/>
        <v>#DIV/0!</v>
      </c>
      <c r="G130" s="100" t="e">
        <f t="shared" si="14"/>
        <v>#DIV/0!</v>
      </c>
      <c r="H130" s="101">
        <f t="shared" si="18"/>
        <v>0</v>
      </c>
      <c r="I130" s="101">
        <f t="shared" si="16"/>
        <v>0</v>
      </c>
      <c r="K130" s="156"/>
      <c r="L130" s="102"/>
    </row>
    <row r="131" spans="1:12" s="116" customFormat="1" ht="18.75" hidden="1">
      <c r="A131" s="113" t="s">
        <v>41</v>
      </c>
      <c r="B131" s="104"/>
      <c r="C131" s="105"/>
      <c r="D131" s="106"/>
      <c r="E131" s="107"/>
      <c r="F131" s="107" t="e">
        <f>D131/B131*100</f>
        <v>#DIV/0!</v>
      </c>
      <c r="G131" s="107" t="e">
        <f t="shared" si="14"/>
        <v>#DIV/0!</v>
      </c>
      <c r="H131" s="105">
        <f t="shared" si="18"/>
        <v>0</v>
      </c>
      <c r="I131" s="105">
        <f t="shared" si="16"/>
        <v>0</v>
      </c>
      <c r="K131" s="156"/>
      <c r="L131" s="102"/>
    </row>
    <row r="132" spans="1:12" s="115" customFormat="1" ht="35.25" customHeight="1" hidden="1">
      <c r="A132" s="108" t="s">
        <v>100</v>
      </c>
      <c r="B132" s="109"/>
      <c r="C132" s="110"/>
      <c r="D132" s="111"/>
      <c r="E132" s="114">
        <f>D132/D107*100</f>
        <v>0</v>
      </c>
      <c r="F132" s="100" t="e">
        <f t="shared" si="17"/>
        <v>#DIV/0!</v>
      </c>
      <c r="G132" s="100" t="e">
        <f t="shared" si="14"/>
        <v>#DIV/0!</v>
      </c>
      <c r="H132" s="101">
        <f t="shared" si="18"/>
        <v>0</v>
      </c>
      <c r="I132" s="101">
        <f>C132-D132</f>
        <v>0</v>
      </c>
      <c r="K132" s="156"/>
      <c r="L132" s="102"/>
    </row>
    <row r="133" spans="1:12" s="115" customFormat="1" ht="21.75" customHeight="1" hidden="1">
      <c r="A133" s="108" t="s">
        <v>99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 t="shared" si="16"/>
        <v>0</v>
      </c>
      <c r="K133" s="156"/>
      <c r="L133" s="102"/>
    </row>
    <row r="134" spans="1:12" s="115" customFormat="1" ht="35.25" customHeight="1">
      <c r="A134" s="108" t="s">
        <v>85</v>
      </c>
      <c r="B134" s="109">
        <f>29.8-29.8</f>
        <v>0</v>
      </c>
      <c r="C134" s="110">
        <v>89.5</v>
      </c>
      <c r="D134" s="111"/>
      <c r="E134" s="114">
        <f>D134/D107*100</f>
        <v>0</v>
      </c>
      <c r="F134" s="100" t="e">
        <f t="shared" si="17"/>
        <v>#DIV/0!</v>
      </c>
      <c r="G134" s="100">
        <f t="shared" si="14"/>
        <v>0</v>
      </c>
      <c r="H134" s="101">
        <f t="shared" si="18"/>
        <v>0</v>
      </c>
      <c r="I134" s="101">
        <f t="shared" si="16"/>
        <v>89.5</v>
      </c>
      <c r="K134" s="156"/>
      <c r="L134" s="102"/>
    </row>
    <row r="135" spans="1:12" s="115" customFormat="1" ht="39" customHeight="1" hidden="1">
      <c r="A135" s="108" t="s">
        <v>52</v>
      </c>
      <c r="B135" s="109"/>
      <c r="C135" s="110"/>
      <c r="D135" s="111"/>
      <c r="E135" s="114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6"/>
      <c r="L135" s="102"/>
    </row>
    <row r="136" spans="1:12" s="116" customFormat="1" ht="18.75" hidden="1">
      <c r="A136" s="103" t="s">
        <v>86</v>
      </c>
      <c r="B136" s="104"/>
      <c r="C136" s="105"/>
      <c r="D136" s="106"/>
      <c r="E136" s="107"/>
      <c r="F136" s="100" t="e">
        <f>D136/B136*100</f>
        <v>#DIV/0!</v>
      </c>
      <c r="G136" s="107" t="e">
        <f>D136/C136*100</f>
        <v>#DIV/0!</v>
      </c>
      <c r="H136" s="105">
        <f>B136-D136</f>
        <v>0</v>
      </c>
      <c r="I136" s="105">
        <f>C136-D136</f>
        <v>0</v>
      </c>
      <c r="K136" s="156"/>
      <c r="L136" s="102"/>
    </row>
    <row r="137" spans="1:12" s="115" customFormat="1" ht="37.5" hidden="1">
      <c r="A137" s="108" t="s">
        <v>82</v>
      </c>
      <c r="B137" s="109"/>
      <c r="C137" s="110"/>
      <c r="D137" s="111"/>
      <c r="E137" s="114">
        <f>D137/D107*100</f>
        <v>0</v>
      </c>
      <c r="F137" s="100" t="e">
        <f>D137/B137*100</f>
        <v>#DIV/0!</v>
      </c>
      <c r="G137" s="100" t="e">
        <f>D137/C137*100</f>
        <v>#DIV/0!</v>
      </c>
      <c r="H137" s="101">
        <f t="shared" si="18"/>
        <v>0</v>
      </c>
      <c r="I137" s="101">
        <f t="shared" si="16"/>
        <v>0</v>
      </c>
      <c r="K137" s="156"/>
      <c r="L137" s="102"/>
    </row>
    <row r="138" spans="1:12" s="116" customFormat="1" ht="18.75" hidden="1">
      <c r="A138" s="103" t="s">
        <v>26</v>
      </c>
      <c r="B138" s="104"/>
      <c r="C138" s="105"/>
      <c r="D138" s="106"/>
      <c r="E138" s="107" t="e">
        <f>D138/D137*100</f>
        <v>#DIV/0!</v>
      </c>
      <c r="F138" s="107" t="e">
        <f t="shared" si="17"/>
        <v>#DIV/0!</v>
      </c>
      <c r="G138" s="107" t="e">
        <f>D138/C138*100</f>
        <v>#DIV/0!</v>
      </c>
      <c r="H138" s="105">
        <f t="shared" si="18"/>
        <v>0</v>
      </c>
      <c r="I138" s="105">
        <f t="shared" si="16"/>
        <v>0</v>
      </c>
      <c r="K138" s="156"/>
      <c r="L138" s="102"/>
    </row>
    <row r="139" spans="1:12" s="115" customFormat="1" ht="18.75">
      <c r="A139" s="108" t="s">
        <v>94</v>
      </c>
      <c r="B139" s="109">
        <v>126</v>
      </c>
      <c r="C139" s="110">
        <v>378</v>
      </c>
      <c r="D139" s="111">
        <f>107.3+0.4</f>
        <v>107.7</v>
      </c>
      <c r="E139" s="114">
        <f>D139/D107*100</f>
        <v>1.376604120865075</v>
      </c>
      <c r="F139" s="100">
        <f t="shared" si="17"/>
        <v>85.47619047619048</v>
      </c>
      <c r="G139" s="100">
        <f t="shared" si="14"/>
        <v>28.49206349206349</v>
      </c>
      <c r="H139" s="101">
        <f t="shared" si="18"/>
        <v>18.299999999999997</v>
      </c>
      <c r="I139" s="101">
        <f t="shared" si="16"/>
        <v>270.3</v>
      </c>
      <c r="K139" s="156"/>
      <c r="L139" s="102"/>
    </row>
    <row r="140" spans="1:12" s="116" customFormat="1" ht="18.75">
      <c r="A140" s="113" t="s">
        <v>41</v>
      </c>
      <c r="B140" s="104">
        <v>115.1</v>
      </c>
      <c r="C140" s="105">
        <v>348</v>
      </c>
      <c r="D140" s="106">
        <v>107.3</v>
      </c>
      <c r="E140" s="107">
        <f>D140/D139*100</f>
        <v>99.62859795728876</v>
      </c>
      <c r="F140" s="107">
        <f aca="true" t="shared" si="19" ref="F140:F149">D140/B140*100</f>
        <v>93.22328410078194</v>
      </c>
      <c r="G140" s="107">
        <f t="shared" si="14"/>
        <v>30.833333333333336</v>
      </c>
      <c r="H140" s="105">
        <f t="shared" si="18"/>
        <v>7.799999999999997</v>
      </c>
      <c r="I140" s="105">
        <f t="shared" si="16"/>
        <v>240.7</v>
      </c>
      <c r="K140" s="156">
        <f>B128+B127+B126+B125+B118+B117+B114+B111+B108+B139+B121</f>
        <v>1043.8</v>
      </c>
      <c r="L140" s="102"/>
    </row>
    <row r="141" spans="1:13" s="116" customFormat="1" ht="18.75">
      <c r="A141" s="103" t="s">
        <v>26</v>
      </c>
      <c r="B141" s="104">
        <v>8</v>
      </c>
      <c r="C141" s="105">
        <v>21.9</v>
      </c>
      <c r="D141" s="106">
        <v>0.4</v>
      </c>
      <c r="E141" s="107">
        <f>D141/D139*100</f>
        <v>0.3714020427112349</v>
      </c>
      <c r="F141" s="107">
        <f t="shared" si="19"/>
        <v>5</v>
      </c>
      <c r="G141" s="107">
        <f>D141/C141*100</f>
        <v>1.8264840182648405</v>
      </c>
      <c r="H141" s="105">
        <f t="shared" si="18"/>
        <v>7.6</v>
      </c>
      <c r="I141" s="105">
        <f t="shared" si="16"/>
        <v>21.5</v>
      </c>
      <c r="K141" s="156">
        <f>K140+B144+B124+B150</f>
        <v>10814.1</v>
      </c>
      <c r="L141" s="102"/>
      <c r="M141" s="157"/>
    </row>
    <row r="142" spans="1:12" s="115" customFormat="1" ht="33.75" customHeight="1" hidden="1">
      <c r="A142" s="119" t="s">
        <v>54</v>
      </c>
      <c r="B142" s="109"/>
      <c r="C142" s="110"/>
      <c r="D142" s="111"/>
      <c r="E142" s="114">
        <f>D142/D107*100</f>
        <v>0</v>
      </c>
      <c r="F142" s="100" t="e">
        <f t="shared" si="19"/>
        <v>#DIV/0!</v>
      </c>
      <c r="G142" s="100" t="e">
        <f t="shared" si="14"/>
        <v>#DIV/0!</v>
      </c>
      <c r="H142" s="101">
        <f t="shared" si="18"/>
        <v>0</v>
      </c>
      <c r="I142" s="101">
        <f t="shared" si="16"/>
        <v>0</v>
      </c>
      <c r="K142" s="156"/>
      <c r="L142" s="102"/>
    </row>
    <row r="143" spans="1:12" s="115" customFormat="1" ht="18.75" hidden="1">
      <c r="A143" s="119" t="s">
        <v>90</v>
      </c>
      <c r="B143" s="109"/>
      <c r="C143" s="110"/>
      <c r="D143" s="111"/>
      <c r="E143" s="114">
        <f>D143/D107*100</f>
        <v>0</v>
      </c>
      <c r="F143" s="100" t="e">
        <f>D143/B143*100</f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K143" s="156"/>
      <c r="L143" s="102"/>
    </row>
    <row r="144" spans="1:12" s="115" customFormat="1" ht="18.75">
      <c r="A144" s="119" t="s">
        <v>95</v>
      </c>
      <c r="B144" s="109">
        <f>3250-528.7</f>
        <v>2721.3</v>
      </c>
      <c r="C144" s="110">
        <v>9750</v>
      </c>
      <c r="D144" s="111">
        <f>254.7+197.5</f>
        <v>452.2</v>
      </c>
      <c r="E144" s="114">
        <f>D144/D107*100</f>
        <v>5.779947850094586</v>
      </c>
      <c r="F144" s="100">
        <f t="shared" si="19"/>
        <v>16.617058023738654</v>
      </c>
      <c r="G144" s="100">
        <f t="shared" si="14"/>
        <v>4.637948717948718</v>
      </c>
      <c r="H144" s="101">
        <f t="shared" si="18"/>
        <v>2269.1000000000004</v>
      </c>
      <c r="I144" s="101">
        <f t="shared" si="16"/>
        <v>9297.8</v>
      </c>
      <c r="K144" s="156">
        <f>B107-K141</f>
        <v>0</v>
      </c>
      <c r="L144" s="102"/>
    </row>
    <row r="145" spans="1:12" s="115" customFormat="1" ht="18.75" hidden="1">
      <c r="A145" s="119" t="s">
        <v>84</v>
      </c>
      <c r="B145" s="109"/>
      <c r="C145" s="110"/>
      <c r="D145" s="111"/>
      <c r="E145" s="114">
        <f>D145/D107*100</f>
        <v>0</v>
      </c>
      <c r="F145" s="100" t="e">
        <f t="shared" si="19"/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6"/>
      <c r="L145" s="102"/>
    </row>
    <row r="146" spans="1:12" s="115" customFormat="1" ht="37.5" hidden="1">
      <c r="A146" s="119" t="s">
        <v>102</v>
      </c>
      <c r="B146" s="109"/>
      <c r="C146" s="110"/>
      <c r="D146" s="111"/>
      <c r="E146" s="114" t="e">
        <f>D146/D109*100</f>
        <v>#DIV/0!</v>
      </c>
      <c r="F146" s="100" t="e">
        <f>D146/B146*100</f>
        <v>#DIV/0!</v>
      </c>
      <c r="G146" s="100" t="e">
        <f>D146/C146*100</f>
        <v>#DIV/0!</v>
      </c>
      <c r="H146" s="101">
        <f>B146-D146</f>
        <v>0</v>
      </c>
      <c r="I146" s="101">
        <f>C146-D146</f>
        <v>0</v>
      </c>
      <c r="K146" s="156"/>
      <c r="L146" s="102"/>
    </row>
    <row r="147" spans="1:12" s="115" customFormat="1" ht="18.75">
      <c r="A147" s="108" t="s">
        <v>96</v>
      </c>
      <c r="B147" s="109">
        <v>0</v>
      </c>
      <c r="C147" s="110">
        <v>46.4</v>
      </c>
      <c r="D147" s="111"/>
      <c r="E147" s="114">
        <f>D147/D107*100</f>
        <v>0</v>
      </c>
      <c r="F147" s="100" t="e">
        <f t="shared" si="19"/>
        <v>#DIV/0!</v>
      </c>
      <c r="G147" s="100">
        <f t="shared" si="14"/>
        <v>0</v>
      </c>
      <c r="H147" s="101">
        <f t="shared" si="18"/>
        <v>0</v>
      </c>
      <c r="I147" s="101">
        <f t="shared" si="16"/>
        <v>46.4</v>
      </c>
      <c r="K147" s="156"/>
      <c r="L147" s="102"/>
    </row>
    <row r="148" spans="1:12" s="115" customFormat="1" ht="18.75" customHeight="1" hidden="1">
      <c r="A148" s="108" t="s">
        <v>75</v>
      </c>
      <c r="B148" s="109"/>
      <c r="C148" s="110"/>
      <c r="D148" s="111"/>
      <c r="E148" s="114">
        <f>D148/D107*100</f>
        <v>0</v>
      </c>
      <c r="F148" s="100" t="e">
        <f t="shared" si="19"/>
        <v>#DIV/0!</v>
      </c>
      <c r="G148" s="100" t="e">
        <f t="shared" si="14"/>
        <v>#DIV/0!</v>
      </c>
      <c r="H148" s="101">
        <f t="shared" si="18"/>
        <v>0</v>
      </c>
      <c r="I148" s="101">
        <f t="shared" si="16"/>
        <v>0</v>
      </c>
      <c r="K148" s="156"/>
      <c r="L148" s="102"/>
    </row>
    <row r="149" spans="1:12" s="115" customFormat="1" ht="19.5" customHeight="1">
      <c r="A149" s="149" t="s">
        <v>48</v>
      </c>
      <c r="B149" s="150">
        <v>0</v>
      </c>
      <c r="C149" s="151">
        <v>561.9</v>
      </c>
      <c r="D149" s="152"/>
      <c r="E149" s="153">
        <f>D149/D107*100</f>
        <v>0</v>
      </c>
      <c r="F149" s="154" t="e">
        <f t="shared" si="19"/>
        <v>#DIV/0!</v>
      </c>
      <c r="G149" s="154">
        <f t="shared" si="14"/>
        <v>0</v>
      </c>
      <c r="H149" s="155">
        <f t="shared" si="18"/>
        <v>0</v>
      </c>
      <c r="I149" s="155">
        <f>C149-D149</f>
        <v>561.9</v>
      </c>
      <c r="K149" s="156"/>
      <c r="L149" s="102"/>
    </row>
    <row r="150" spans="1:12" s="115" customFormat="1" ht="18.75">
      <c r="A150" s="108" t="s">
        <v>97</v>
      </c>
      <c r="B150" s="109">
        <f>2457.1+1062.3</f>
        <v>3519.3999999999996</v>
      </c>
      <c r="C150" s="110">
        <v>7371.3</v>
      </c>
      <c r="D150" s="111">
        <f>819+819+819.1+1062.3</f>
        <v>3519.3999999999996</v>
      </c>
      <c r="E150" s="114">
        <f>D150/D107*100</f>
        <v>44.98440615573393</v>
      </c>
      <c r="F150" s="100">
        <f t="shared" si="17"/>
        <v>100</v>
      </c>
      <c r="G150" s="100">
        <f t="shared" si="14"/>
        <v>47.74463120480783</v>
      </c>
      <c r="H150" s="101">
        <f t="shared" si="18"/>
        <v>0</v>
      </c>
      <c r="I150" s="101">
        <f t="shared" si="16"/>
        <v>3851.9000000000005</v>
      </c>
      <c r="K150" s="156"/>
      <c r="L150" s="102"/>
    </row>
    <row r="151" spans="1:12" s="2" customFormat="1" ht="19.5" thickBot="1">
      <c r="A151" s="27" t="s">
        <v>30</v>
      </c>
      <c r="B151" s="62"/>
      <c r="C151" s="62"/>
      <c r="D151" s="43">
        <f>D43+D69+D72+D77+D79+D87+D102+D107+D100+D84+D98</f>
        <v>8183.499999999999</v>
      </c>
      <c r="E151" s="13"/>
      <c r="F151" s="13"/>
      <c r="G151" s="4"/>
      <c r="H151" s="51"/>
      <c r="I151" s="43"/>
      <c r="K151" s="156"/>
      <c r="L151" s="31"/>
    </row>
    <row r="152" spans="1:12" ht="19.5" thickBot="1">
      <c r="A152" s="10" t="s">
        <v>18</v>
      </c>
      <c r="B152" s="39">
        <f>B6+B18+B33+B43+B51+B59+B69+B72+B77+B79+B87+B90+B95+B102+B107+B100+B84+B98+B45</f>
        <v>123241.90000000001</v>
      </c>
      <c r="C152" s="39">
        <f>C6+C18+C33+C43+C51+C59+C69+C72+C77+C79+C87+C90+C95+C102+C107+C100+C84+C98+C45</f>
        <v>367146.53</v>
      </c>
      <c r="D152" s="39">
        <f>D6+D18+D33+D43+D51+D59+D69+D72+D77+D79+D87+D90+D95+D102+D107+D100+D84+D98+D45</f>
        <v>102947.2</v>
      </c>
      <c r="E152" s="26">
        <v>100</v>
      </c>
      <c r="F152" s="3">
        <f>D152/B152*100</f>
        <v>83.53262973063543</v>
      </c>
      <c r="G152" s="3">
        <f aca="true" t="shared" si="20" ref="G152:G158">D152/C152*100</f>
        <v>28.039812877980896</v>
      </c>
      <c r="H152" s="39">
        <f aca="true" t="shared" si="21" ref="H152:H158">B152-D152</f>
        <v>20294.70000000001</v>
      </c>
      <c r="I152" s="39">
        <f aca="true" t="shared" si="22" ref="I152:I158">C152-D152</f>
        <v>264199.33</v>
      </c>
      <c r="K152" s="156"/>
      <c r="L152" s="32"/>
    </row>
    <row r="153" spans="1:12" ht="18.75">
      <c r="A153" s="14" t="s">
        <v>5</v>
      </c>
      <c r="B153" s="50">
        <f>B8+B20+B34+B52+B60+B91+B115+B119+B46+B140+B131+B103</f>
        <v>64560.899999999994</v>
      </c>
      <c r="C153" s="50">
        <f>C8+C20+C34+C52+C60+C91+C115+C119+C46+C140+C131+C103</f>
        <v>192261.8</v>
      </c>
      <c r="D153" s="50">
        <f>D8+D20+D34+D52+D60+D91+D115+D119+D46+D140+D131+D103</f>
        <v>63140.71</v>
      </c>
      <c r="E153" s="4">
        <f>D153/D152*100</f>
        <v>61.33310085169874</v>
      </c>
      <c r="F153" s="4">
        <f aca="true" t="shared" si="23" ref="F153:F158">D153/B153*100</f>
        <v>97.80023202898349</v>
      </c>
      <c r="G153" s="4">
        <f t="shared" si="20"/>
        <v>32.841006377761985</v>
      </c>
      <c r="H153" s="51">
        <f t="shared" si="21"/>
        <v>1420.189999999995</v>
      </c>
      <c r="I153" s="61">
        <f t="shared" si="22"/>
        <v>129121.09</v>
      </c>
      <c r="K153" s="156"/>
      <c r="L153" s="32"/>
    </row>
    <row r="154" spans="1:12" ht="18.75">
      <c r="A154" s="14" t="s">
        <v>0</v>
      </c>
      <c r="B154" s="51">
        <f>B11+B23+B36+B55+B62+B92+B49+B141+B109+B112+B96+B138</f>
        <v>5945.299999999999</v>
      </c>
      <c r="C154" s="51">
        <f>C11+C23+C36+C55+C62+C92+C49+C141+C109+C112+C96+C138</f>
        <v>15300.400000000001</v>
      </c>
      <c r="D154" s="51">
        <f>D11+D23+D36+D55+D62+D92+D49+D141+D109+D112+D96+D138</f>
        <v>2458.6000000000004</v>
      </c>
      <c r="E154" s="4">
        <f>D154/D152*100</f>
        <v>2.3882145410462843</v>
      </c>
      <c r="F154" s="4">
        <f t="shared" si="23"/>
        <v>41.353674330984155</v>
      </c>
      <c r="G154" s="4">
        <f t="shared" si="20"/>
        <v>16.068860944811902</v>
      </c>
      <c r="H154" s="51">
        <f t="shared" si="21"/>
        <v>3486.699999999999</v>
      </c>
      <c r="I154" s="61">
        <f t="shared" si="22"/>
        <v>12841.800000000001</v>
      </c>
      <c r="K154" s="156"/>
      <c r="L154" s="68"/>
    </row>
    <row r="155" spans="1:12" ht="18.75">
      <c r="A155" s="14" t="s">
        <v>1</v>
      </c>
      <c r="B155" s="50">
        <f>B22+B10+B54+B48+B61+B35+B123</f>
        <v>3179.2</v>
      </c>
      <c r="C155" s="50">
        <f>C22+C10+C54+C48+C61+C35+C123</f>
        <v>11076.999999999998</v>
      </c>
      <c r="D155" s="50">
        <f>D22+D10+D54+D48+D61+D35+D123</f>
        <v>356.3</v>
      </c>
      <c r="E155" s="4">
        <f>D155/D152*100</f>
        <v>0.346099748220447</v>
      </c>
      <c r="F155" s="4">
        <f t="shared" si="23"/>
        <v>11.207221942627077</v>
      </c>
      <c r="G155" s="4">
        <f t="shared" si="20"/>
        <v>3.216574884896634</v>
      </c>
      <c r="H155" s="51">
        <f t="shared" si="21"/>
        <v>2822.8999999999996</v>
      </c>
      <c r="I155" s="61">
        <f t="shared" si="22"/>
        <v>10720.699999999999</v>
      </c>
      <c r="K155" s="156"/>
      <c r="L155" s="32"/>
    </row>
    <row r="156" spans="1:12" ht="21" customHeight="1">
      <c r="A156" s="14" t="s">
        <v>14</v>
      </c>
      <c r="B156" s="50">
        <f>B12+B24+B104+B63+B38+B93+B129+B56+B136</f>
        <v>1852.6999999999998</v>
      </c>
      <c r="C156" s="50">
        <f>C12+C24+C104+C63+C38+C93+C129+C56+C136</f>
        <v>5516</v>
      </c>
      <c r="D156" s="50">
        <f>D12+D24+D104+D63+D38+D93+D129+D56+D136</f>
        <v>1434.2999999999997</v>
      </c>
      <c r="E156" s="4">
        <f>D156/D152*100</f>
        <v>1.3932384756457676</v>
      </c>
      <c r="F156" s="4">
        <f t="shared" si="23"/>
        <v>77.4167431316457</v>
      </c>
      <c r="G156" s="4">
        <f t="shared" si="20"/>
        <v>26.002538071065985</v>
      </c>
      <c r="H156" s="51">
        <f>B156-D156</f>
        <v>418.4000000000001</v>
      </c>
      <c r="I156" s="61">
        <f t="shared" si="22"/>
        <v>4081.7000000000003</v>
      </c>
      <c r="K156" s="156"/>
      <c r="L156" s="68"/>
    </row>
    <row r="157" spans="1:12" ht="18.75">
      <c r="A157" s="14" t="s">
        <v>2</v>
      </c>
      <c r="B157" s="50">
        <f>B9+B21+B47+B53+B122</f>
        <v>0</v>
      </c>
      <c r="C157" s="50">
        <f>C9+C21+C47+C53+C122</f>
        <v>0</v>
      </c>
      <c r="D157" s="50">
        <f>D9+D21+D47+D53+D122</f>
        <v>0</v>
      </c>
      <c r="E157" s="4">
        <f>D157/D152*100</f>
        <v>0</v>
      </c>
      <c r="F157" s="4" t="e">
        <f t="shared" si="23"/>
        <v>#DIV/0!</v>
      </c>
      <c r="G157" s="4" t="e">
        <f t="shared" si="20"/>
        <v>#DIV/0!</v>
      </c>
      <c r="H157" s="51">
        <f t="shared" si="21"/>
        <v>0</v>
      </c>
      <c r="I157" s="61">
        <f t="shared" si="22"/>
        <v>0</v>
      </c>
      <c r="K157" s="156"/>
      <c r="L157" s="32"/>
    </row>
    <row r="158" spans="1:12" ht="19.5" thickBot="1">
      <c r="A158" s="87" t="s">
        <v>28</v>
      </c>
      <c r="B158" s="63">
        <f>B152-B153-B154-B155-B156-B157</f>
        <v>47703.80000000002</v>
      </c>
      <c r="C158" s="63">
        <f>C152-C153-C154-C155-C156-C157</f>
        <v>142991.33000000005</v>
      </c>
      <c r="D158" s="63">
        <f>D152-D153-D154-D155-D156-D157</f>
        <v>35557.28999999999</v>
      </c>
      <c r="E158" s="29">
        <f>D158/D152*100</f>
        <v>34.53934638338876</v>
      </c>
      <c r="F158" s="29">
        <f t="shared" si="23"/>
        <v>74.53764689605437</v>
      </c>
      <c r="G158" s="29">
        <f t="shared" si="20"/>
        <v>24.866745417362004</v>
      </c>
      <c r="H158" s="88">
        <f t="shared" si="21"/>
        <v>12146.510000000024</v>
      </c>
      <c r="I158" s="88">
        <f t="shared" si="22"/>
        <v>107434.04000000005</v>
      </c>
      <c r="K158" s="156"/>
      <c r="L158" s="68"/>
    </row>
    <row r="159" spans="7:8" ht="12.75">
      <c r="G159" s="16"/>
      <c r="H159" s="16"/>
    </row>
    <row r="160" spans="3:11" ht="12.75">
      <c r="C160" s="156"/>
      <c r="G160" s="16"/>
      <c r="H160" s="16"/>
      <c r="I160" s="16"/>
      <c r="K160" s="94"/>
    </row>
    <row r="161" spans="7:11" ht="12.75">
      <c r="G161" s="16"/>
      <c r="H161" s="16"/>
      <c r="K161" s="94"/>
    </row>
    <row r="162" spans="7:11" ht="12.75">
      <c r="G162" s="16"/>
      <c r="H162" s="16"/>
      <c r="K162" s="94"/>
    </row>
    <row r="163" spans="4:8" ht="12.75">
      <c r="D163" s="156"/>
      <c r="G163" s="16"/>
      <c r="H163" s="16"/>
    </row>
    <row r="164" spans="7:8" ht="12.75">
      <c r="G164" s="16"/>
      <c r="H164" s="16"/>
    </row>
    <row r="165" spans="2:8" ht="12.75">
      <c r="B165" s="91"/>
      <c r="C165" s="91"/>
      <c r="D165" s="91"/>
      <c r="G165" s="16"/>
      <c r="H165" s="16"/>
    </row>
    <row r="166" spans="7:8" ht="12.75">
      <c r="G166" s="16"/>
      <c r="H166" s="16"/>
    </row>
    <row r="167" spans="7:8" ht="12.75">
      <c r="G167" s="16"/>
      <c r="H167" s="16"/>
    </row>
    <row r="168" spans="7:8" ht="12.75">
      <c r="G168" s="16"/>
      <c r="H168" s="16"/>
    </row>
    <row r="169" spans="7:8" ht="12.75">
      <c r="G169" s="16"/>
      <c r="H169" s="16"/>
    </row>
    <row r="170" spans="7:8" ht="12.75">
      <c r="G170" s="16"/>
      <c r="H170" s="16"/>
    </row>
    <row r="171" spans="7:8" ht="12.75">
      <c r="G171" s="16"/>
      <c r="H171" s="16"/>
    </row>
    <row r="172" spans="7:8" ht="12.75">
      <c r="G172" s="16"/>
      <c r="H172" s="16"/>
    </row>
    <row r="173" spans="7:8" ht="12.75">
      <c r="G173" s="16"/>
      <c r="H173" s="16"/>
    </row>
    <row r="174" spans="7:8" ht="12.75">
      <c r="G174" s="16"/>
      <c r="H174" s="16"/>
    </row>
    <row r="175" spans="7:8" ht="12.75">
      <c r="G175" s="16"/>
      <c r="H175" s="16"/>
    </row>
    <row r="176" spans="7:8" ht="12.75">
      <c r="G176" s="16"/>
      <c r="H176" s="16"/>
    </row>
    <row r="177" spans="7:8" ht="12.75">
      <c r="G177" s="16"/>
      <c r="H177" s="16"/>
    </row>
    <row r="178" spans="7:8" ht="12.75">
      <c r="G178" s="16"/>
      <c r="H178" s="16"/>
    </row>
    <row r="179" spans="7:8" ht="12.75">
      <c r="G179" s="16"/>
      <c r="H179" s="16"/>
    </row>
    <row r="180" spans="7:8" ht="12.75">
      <c r="G180" s="16"/>
      <c r="H180" s="16"/>
    </row>
    <row r="181" spans="7:8" ht="12.75">
      <c r="G181" s="16"/>
      <c r="H181" s="16"/>
    </row>
    <row r="182" spans="7:8" ht="12.75">
      <c r="G182" s="16"/>
      <c r="H182" s="16"/>
    </row>
    <row r="183" spans="7:8" ht="12.75">
      <c r="G183" s="16"/>
      <c r="H183" s="16"/>
    </row>
    <row r="184" spans="7:8" ht="12.75">
      <c r="G184" s="16"/>
      <c r="H184" s="16"/>
    </row>
    <row r="185" spans="7:8" ht="12.75">
      <c r="G185" s="16"/>
      <c r="H185" s="16"/>
    </row>
    <row r="186" spans="7:8" ht="12.75">
      <c r="G186" s="16"/>
      <c r="H186" s="16"/>
    </row>
    <row r="187" spans="7:8" ht="12.75">
      <c r="G187" s="16"/>
      <c r="H187" s="16"/>
    </row>
    <row r="188" spans="7:8" ht="12.75">
      <c r="G188" s="16"/>
      <c r="H188" s="16"/>
    </row>
    <row r="189" spans="7:8" ht="12.75">
      <c r="G189" s="16"/>
      <c r="H189" s="16"/>
    </row>
    <row r="190" spans="7:8" ht="12.75">
      <c r="G190" s="16"/>
      <c r="H190" s="16"/>
    </row>
    <row r="191" spans="7:8" ht="12.75">
      <c r="G191" s="16"/>
      <c r="H191" s="16"/>
    </row>
    <row r="192" spans="7:8" ht="12.75">
      <c r="G192" s="16"/>
      <c r="H192" s="16"/>
    </row>
    <row r="193" spans="7:8" ht="12.75">
      <c r="G193" s="16"/>
      <c r="H193" s="16"/>
    </row>
    <row r="194" spans="7:8" ht="12.75">
      <c r="G194" s="16"/>
      <c r="H194" s="16"/>
    </row>
    <row r="195" spans="7:8" ht="12.75">
      <c r="G195" s="16"/>
      <c r="H195" s="16"/>
    </row>
    <row r="196" spans="7:8" ht="12.75">
      <c r="G196" s="16"/>
      <c r="H196" s="16"/>
    </row>
    <row r="197" spans="7:8" ht="12.75">
      <c r="G197" s="16"/>
      <c r="H197" s="16"/>
    </row>
    <row r="198" spans="7:8" ht="12.75">
      <c r="G198" s="16"/>
      <c r="H198" s="16"/>
    </row>
    <row r="199" spans="7:8" ht="12.75">
      <c r="G199" s="16"/>
      <c r="H199" s="16"/>
    </row>
    <row r="200" spans="7:8" ht="12.75">
      <c r="G200" s="16"/>
      <c r="H200" s="16"/>
    </row>
    <row r="201" spans="7:8" ht="12.75">
      <c r="G201" s="16"/>
      <c r="H201" s="16"/>
    </row>
    <row r="202" spans="7:8" ht="12.75">
      <c r="G202" s="16"/>
      <c r="H202" s="16"/>
    </row>
    <row r="203" spans="7:8" ht="12.75">
      <c r="G203" s="16"/>
      <c r="H203" s="16"/>
    </row>
    <row r="204" spans="7:8" ht="12.75">
      <c r="G204" s="16"/>
      <c r="H204" s="16"/>
    </row>
    <row r="205" spans="7:8" ht="12.75">
      <c r="G205" s="16"/>
      <c r="H205" s="16"/>
    </row>
    <row r="206" spans="7:8" ht="12.75">
      <c r="G206" s="16"/>
      <c r="H206" s="16"/>
    </row>
    <row r="207" spans="7:8" ht="12.75">
      <c r="G207" s="16"/>
      <c r="H207" s="16"/>
    </row>
    <row r="208" spans="7:8" ht="12.75">
      <c r="G208" s="16"/>
      <c r="H208" s="16"/>
    </row>
    <row r="209" spans="7:8" ht="12.75">
      <c r="G209" s="16"/>
      <c r="H209" s="16"/>
    </row>
    <row r="210" spans="7:8" ht="12.75">
      <c r="G210" s="16"/>
      <c r="H210" s="16"/>
    </row>
    <row r="211" spans="7:8" ht="12.75">
      <c r="G211" s="16"/>
      <c r="H211" s="16"/>
    </row>
    <row r="212" spans="7:8" ht="12.75">
      <c r="G212" s="16"/>
      <c r="H212" s="16"/>
    </row>
    <row r="213" spans="7:8" ht="12.75">
      <c r="G213" s="16"/>
      <c r="H213" s="16"/>
    </row>
    <row r="214" spans="7:8" ht="12.75">
      <c r="G214" s="16"/>
      <c r="H214" s="16"/>
    </row>
    <row r="215" spans="7:8" ht="12.75">
      <c r="G215" s="16"/>
      <c r="H215" s="16"/>
    </row>
    <row r="216" spans="7:8" ht="12.75">
      <c r="G216" s="16"/>
      <c r="H216" s="16"/>
    </row>
    <row r="217" spans="7:8" ht="12.75">
      <c r="G217" s="16"/>
      <c r="H217" s="16"/>
    </row>
    <row r="218" spans="7:8" ht="12.75">
      <c r="G218" s="16"/>
      <c r="H218" s="16"/>
    </row>
    <row r="219" spans="7:8" ht="12.75">
      <c r="G219" s="16"/>
      <c r="H219" s="16"/>
    </row>
    <row r="220" spans="7:8" ht="12.75">
      <c r="G220" s="16"/>
      <c r="H220" s="16"/>
    </row>
    <row r="221" spans="7:8" ht="12.75">
      <c r="G221" s="16"/>
      <c r="H221" s="16"/>
    </row>
    <row r="222" spans="7:8" ht="12.75">
      <c r="G222" s="16"/>
      <c r="H222" s="16"/>
    </row>
    <row r="223" spans="7:8" ht="12.75">
      <c r="G223" s="16"/>
      <c r="H223" s="16"/>
    </row>
    <row r="224" spans="7:8" ht="12.75">
      <c r="G224" s="16"/>
      <c r="H224" s="16"/>
    </row>
    <row r="225" spans="7:8" ht="12.75">
      <c r="G225" s="16"/>
      <c r="H225" s="16"/>
    </row>
    <row r="226" spans="7:8" ht="12.75">
      <c r="G226" s="16"/>
      <c r="H226" s="16"/>
    </row>
    <row r="227" spans="7:8" ht="12.75">
      <c r="G227" s="16"/>
      <c r="H227" s="16"/>
    </row>
    <row r="228" spans="7:8" ht="12.75">
      <c r="G228" s="16"/>
      <c r="H228" s="16"/>
    </row>
    <row r="229" spans="7:8" ht="12.75">
      <c r="G229" s="16"/>
      <c r="H229" s="16"/>
    </row>
    <row r="230" spans="7:8" ht="12.75">
      <c r="G230" s="16"/>
      <c r="H230" s="16"/>
    </row>
    <row r="231" spans="7:8" ht="12.75">
      <c r="G231" s="16"/>
      <c r="H231" s="16"/>
    </row>
    <row r="232" spans="7:8" ht="12.75">
      <c r="G232" s="16"/>
      <c r="H232" s="16"/>
    </row>
    <row r="233" spans="7:8" ht="12.75">
      <c r="G233" s="16"/>
      <c r="H233" s="16"/>
    </row>
    <row r="234" spans="7:8" ht="12.75">
      <c r="G234" s="16"/>
      <c r="H234" s="16"/>
    </row>
    <row r="235" spans="7:8" ht="12.75">
      <c r="G235" s="16"/>
      <c r="H235" s="16"/>
    </row>
    <row r="236" spans="7:8" ht="12.75">
      <c r="G236" s="16"/>
      <c r="H236" s="16"/>
    </row>
    <row r="237" spans="7:8" ht="12.75">
      <c r="G237" s="16"/>
      <c r="H237" s="16"/>
    </row>
    <row r="238" spans="7:8" ht="12.75">
      <c r="G238" s="16"/>
      <c r="H238" s="16"/>
    </row>
    <row r="239" spans="7:8" ht="12.75">
      <c r="G239" s="16"/>
      <c r="H239" s="16"/>
    </row>
    <row r="240" spans="7:8" ht="12.75">
      <c r="G240" s="16"/>
      <c r="H240" s="16"/>
    </row>
    <row r="241" spans="7:8" ht="12.75">
      <c r="G241" s="16"/>
      <c r="H241" s="16"/>
    </row>
    <row r="242" spans="7:8" ht="12.75">
      <c r="G242" s="16"/>
      <c r="H242" s="16"/>
    </row>
    <row r="243" spans="7:8" ht="12.75">
      <c r="G243" s="16"/>
      <c r="H243" s="16"/>
    </row>
    <row r="244" spans="7:8" ht="12.75">
      <c r="G244" s="16"/>
      <c r="H244" s="16"/>
    </row>
    <row r="245" spans="7:8" ht="12.75">
      <c r="G245" s="16"/>
      <c r="H245" s="16"/>
    </row>
    <row r="246" spans="7:8" ht="12.75">
      <c r="G246" s="16"/>
      <c r="H246" s="16"/>
    </row>
    <row r="247" spans="7:8" ht="12.75">
      <c r="G247" s="16"/>
      <c r="H247" s="16"/>
    </row>
    <row r="248" spans="7:8" ht="12.75">
      <c r="G248" s="16"/>
      <c r="H248" s="16"/>
    </row>
    <row r="249" spans="7:8" ht="12.75">
      <c r="G249" s="16"/>
      <c r="H249" s="16"/>
    </row>
    <row r="250" spans="7:8" ht="12.75">
      <c r="G250" s="16"/>
      <c r="H250" s="16"/>
    </row>
    <row r="251" spans="7:8" ht="12.75">
      <c r="G251" s="16"/>
      <c r="H251" s="16"/>
    </row>
    <row r="252" spans="7:8" ht="12.75">
      <c r="G252" s="16"/>
      <c r="H252" s="16"/>
    </row>
    <row r="253" spans="7:8" ht="12.75">
      <c r="G253" s="16"/>
      <c r="H253" s="16"/>
    </row>
    <row r="254" spans="7:8" ht="12.75">
      <c r="G254" s="16"/>
      <c r="H254" s="16"/>
    </row>
    <row r="255" spans="7:8" ht="12.75">
      <c r="G255" s="16"/>
      <c r="H255" s="16"/>
    </row>
    <row r="256" spans="7:8" ht="12.75">
      <c r="G256" s="16"/>
      <c r="H256" s="16"/>
    </row>
    <row r="257" spans="7:8" ht="12.75">
      <c r="G257" s="16"/>
      <c r="H257" s="16"/>
    </row>
    <row r="258" spans="7:8" ht="12.75">
      <c r="G258" s="16"/>
      <c r="H258" s="16"/>
    </row>
    <row r="259" spans="7:8" ht="12.75">
      <c r="G259" s="16"/>
      <c r="H259" s="16"/>
    </row>
    <row r="260" spans="7:8" ht="12.75">
      <c r="G260" s="16"/>
      <c r="H260" s="16"/>
    </row>
    <row r="261" spans="7:8" ht="12.75">
      <c r="G261" s="16"/>
      <c r="H261" s="16"/>
    </row>
    <row r="262" spans="7:8" ht="12.75">
      <c r="G262" s="16"/>
      <c r="H262" s="16"/>
    </row>
    <row r="263" spans="7:8" ht="12.75">
      <c r="G263" s="16"/>
      <c r="H263" s="16"/>
    </row>
    <row r="264" spans="7:8" ht="12.75">
      <c r="G264" s="16"/>
      <c r="H264" s="16"/>
    </row>
    <row r="265" spans="7:8" ht="12.75">
      <c r="G265" s="16"/>
      <c r="H265" s="16"/>
    </row>
    <row r="266" spans="7:8" ht="12.75">
      <c r="G266" s="16"/>
      <c r="H266" s="16"/>
    </row>
    <row r="267" spans="7:8" ht="12.75">
      <c r="G267" s="16"/>
      <c r="H267" s="16"/>
    </row>
    <row r="268" spans="7:8" ht="12.75">
      <c r="G268" s="16"/>
      <c r="H268" s="16"/>
    </row>
    <row r="269" spans="7:8" ht="12.75">
      <c r="G269" s="16"/>
      <c r="H269" s="16"/>
    </row>
    <row r="270" spans="7:8" ht="12.75">
      <c r="G270" s="16"/>
      <c r="H270" s="16"/>
    </row>
    <row r="271" spans="7:8" ht="12.75">
      <c r="G271" s="16"/>
      <c r="H271" s="16"/>
    </row>
    <row r="272" spans="7:8" ht="12.75">
      <c r="G272" s="16"/>
      <c r="H272" s="16"/>
    </row>
    <row r="273" spans="7:8" ht="12.75">
      <c r="G273" s="16"/>
      <c r="H273" s="16"/>
    </row>
    <row r="274" spans="7:8" ht="12.75">
      <c r="G274" s="16"/>
      <c r="H274" s="16"/>
    </row>
    <row r="275" spans="7:8" ht="12.75">
      <c r="G275" s="16"/>
      <c r="H275" s="16"/>
    </row>
    <row r="276" spans="7:8" ht="12.75">
      <c r="G276" s="16"/>
      <c r="H276" s="16"/>
    </row>
    <row r="277" spans="7:8" ht="12.75">
      <c r="G277" s="16"/>
      <c r="H277" s="16"/>
    </row>
    <row r="278" spans="7:8" ht="12.75">
      <c r="G278" s="16"/>
      <c r="H278" s="16"/>
    </row>
    <row r="279" spans="7:8" ht="12.75">
      <c r="G279" s="16"/>
      <c r="H279" s="16"/>
    </row>
    <row r="280" spans="7:8" ht="12.75">
      <c r="G280" s="16"/>
      <c r="H280" s="16"/>
    </row>
    <row r="281" spans="7:8" ht="12.75">
      <c r="G281" s="16"/>
      <c r="H281" s="16"/>
    </row>
    <row r="282" spans="7:8" ht="12.75">
      <c r="G282" s="16"/>
      <c r="H282" s="16"/>
    </row>
    <row r="283" spans="7:8" ht="12.75">
      <c r="G283" s="16"/>
      <c r="H283" s="16"/>
    </row>
    <row r="284" spans="7:8" ht="12.75">
      <c r="G284" s="16"/>
      <c r="H284" s="16"/>
    </row>
    <row r="285" spans="7:8" ht="12.75">
      <c r="G285" s="16"/>
      <c r="H285" s="16"/>
    </row>
    <row r="286" spans="7:8" ht="12.75">
      <c r="G286" s="16"/>
      <c r="H286" s="16"/>
    </row>
    <row r="287" spans="7:8" ht="12.75">
      <c r="G287" s="16"/>
      <c r="H287" s="16"/>
    </row>
    <row r="288" spans="7:8" ht="12.75">
      <c r="G288" s="16"/>
      <c r="H288" s="16"/>
    </row>
    <row r="289" spans="7:8" ht="12.75">
      <c r="G289" s="16"/>
      <c r="H289" s="16"/>
    </row>
    <row r="290" spans="7:8" ht="12.75">
      <c r="G290" s="16"/>
      <c r="H290" s="16"/>
    </row>
    <row r="291" spans="7:8" ht="12.75">
      <c r="G291" s="16"/>
      <c r="H291" s="16"/>
    </row>
    <row r="292" spans="7:8" ht="12.75">
      <c r="G292" s="16"/>
      <c r="H292" s="16"/>
    </row>
    <row r="293" spans="7:8" ht="12.75">
      <c r="G293" s="16"/>
      <c r="H293" s="16"/>
    </row>
    <row r="294" spans="7:8" ht="12.75">
      <c r="G294" s="16"/>
      <c r="H294" s="16"/>
    </row>
    <row r="295" spans="7:8" ht="12.75">
      <c r="G295" s="16"/>
      <c r="H295" s="16"/>
    </row>
    <row r="296" spans="7:8" ht="12.75">
      <c r="G296" s="16"/>
      <c r="H296" s="16"/>
    </row>
    <row r="297" spans="7:8" ht="12.75">
      <c r="G297" s="16"/>
      <c r="H297" s="16"/>
    </row>
    <row r="298" spans="7:8" ht="12.75">
      <c r="G298" s="16"/>
      <c r="H298" s="16"/>
    </row>
    <row r="299" spans="7:8" ht="12.75">
      <c r="G299" s="16"/>
      <c r="H299" s="16"/>
    </row>
    <row r="300" spans="7:8" ht="12.75">
      <c r="G300" s="16"/>
      <c r="H300" s="16"/>
    </row>
    <row r="301" spans="7:8" ht="12.75">
      <c r="G301" s="16"/>
      <c r="H301" s="16"/>
    </row>
    <row r="302" spans="7:8" ht="12.75">
      <c r="G302" s="16"/>
      <c r="H302" s="16"/>
    </row>
    <row r="303" spans="7:8" ht="12.75">
      <c r="G303" s="16"/>
      <c r="H303" s="16"/>
    </row>
    <row r="304" spans="7:8" ht="12.75">
      <c r="G304" s="16"/>
      <c r="H304" s="16"/>
    </row>
    <row r="305" spans="7:8" ht="12.75">
      <c r="G305" s="16"/>
      <c r="H305" s="16"/>
    </row>
    <row r="306" spans="7:8" ht="12.75">
      <c r="G306" s="16"/>
      <c r="H306" s="16"/>
    </row>
    <row r="307" spans="7:8" ht="12.75">
      <c r="G307" s="16"/>
      <c r="H307" s="16"/>
    </row>
    <row r="308" spans="7:8" ht="12.75">
      <c r="G308" s="16"/>
      <c r="H308" s="16"/>
    </row>
    <row r="309" spans="7:8" ht="12.75">
      <c r="G309" s="16"/>
      <c r="H309" s="16"/>
    </row>
    <row r="310" spans="7:8" ht="12.75">
      <c r="G310" s="16"/>
      <c r="H310" s="16"/>
    </row>
    <row r="311" spans="7:8" ht="12.75">
      <c r="G311" s="16"/>
      <c r="H311" s="16"/>
    </row>
    <row r="312" spans="7:8" ht="12.75">
      <c r="G312" s="16"/>
      <c r="H312" s="16"/>
    </row>
    <row r="313" spans="7:8" ht="12.75">
      <c r="G313" s="16"/>
      <c r="H313" s="16"/>
    </row>
    <row r="314" spans="7:8" ht="12.75">
      <c r="G314" s="16"/>
      <c r="H314" s="16"/>
    </row>
    <row r="315" spans="7:8" ht="12.75">
      <c r="G315" s="16"/>
      <c r="H315" s="16"/>
    </row>
    <row r="316" spans="7:8" ht="12.75">
      <c r="G316" s="16"/>
      <c r="H316" s="16"/>
    </row>
    <row r="317" spans="7:8" ht="12.75">
      <c r="G317" s="16"/>
      <c r="H317" s="16"/>
    </row>
    <row r="318" spans="7:8" ht="12.75">
      <c r="G318" s="16"/>
      <c r="H318" s="16"/>
    </row>
    <row r="319" spans="7:8" ht="12.75">
      <c r="G319" s="16"/>
      <c r="H319" s="16"/>
    </row>
    <row r="320" spans="7:8" ht="12.75">
      <c r="G320" s="16"/>
      <c r="H320" s="16"/>
    </row>
    <row r="321" spans="7:8" ht="12.75">
      <c r="G321" s="16"/>
      <c r="H321" s="16"/>
    </row>
    <row r="322" spans="7:8" ht="12.75">
      <c r="G322" s="16"/>
      <c r="H322" s="16"/>
    </row>
    <row r="323" spans="7:8" ht="12.75">
      <c r="G323" s="16"/>
      <c r="H323" s="16"/>
    </row>
    <row r="324" spans="7:8" ht="12.75">
      <c r="G324" s="16"/>
      <c r="H324" s="16"/>
    </row>
    <row r="325" spans="7:8" ht="12.75">
      <c r="G325" s="16"/>
      <c r="H325" s="16"/>
    </row>
    <row r="326" spans="7:8" ht="12.75">
      <c r="G326" s="16"/>
      <c r="H326" s="16"/>
    </row>
    <row r="327" spans="7:8" ht="12.75">
      <c r="G327" s="16"/>
      <c r="H327" s="16"/>
    </row>
    <row r="328" spans="7:8" ht="12.75">
      <c r="G328" s="16"/>
      <c r="H328" s="16"/>
    </row>
    <row r="329" spans="7:8" ht="12.75">
      <c r="G329" s="16"/>
      <c r="H329" s="16"/>
    </row>
    <row r="330" spans="7:8" ht="12.75">
      <c r="G330" s="16"/>
      <c r="H330" s="16"/>
    </row>
    <row r="331" spans="7:8" ht="12.75">
      <c r="G331" s="16"/>
      <c r="H331" s="16"/>
    </row>
    <row r="332" spans="7:8" ht="12.75">
      <c r="G332" s="16"/>
      <c r="H332" s="16"/>
    </row>
    <row r="333" spans="7:8" ht="12.75">
      <c r="G333" s="16"/>
      <c r="H333" s="16"/>
    </row>
    <row r="334" spans="7:8" ht="12.75">
      <c r="G334" s="16"/>
      <c r="H334" s="16"/>
    </row>
    <row r="335" spans="7:8" ht="12.75">
      <c r="G335" s="16"/>
      <c r="H335" s="16"/>
    </row>
    <row r="336" spans="7:8" ht="12.75">
      <c r="G336" s="16"/>
      <c r="H336" s="16"/>
    </row>
    <row r="337" spans="7:8" ht="12.75">
      <c r="G337" s="16"/>
      <c r="H337" s="16"/>
    </row>
    <row r="338" spans="7:8" ht="12.75">
      <c r="G338" s="16"/>
      <c r="H338" s="16"/>
    </row>
    <row r="339" spans="7:8" ht="12.75">
      <c r="G339" s="16"/>
      <c r="H339" s="16"/>
    </row>
    <row r="340" spans="7:8" ht="12.75">
      <c r="G340" s="16"/>
      <c r="H340" s="16"/>
    </row>
    <row r="341" spans="7:8" ht="12.75">
      <c r="G341" s="16"/>
      <c r="H341" s="16"/>
    </row>
    <row r="342" spans="7:8" ht="12.75">
      <c r="G342" s="16"/>
      <c r="H342" s="16"/>
    </row>
    <row r="343" spans="7:8" ht="12.75">
      <c r="G343" s="16"/>
      <c r="H343" s="16"/>
    </row>
    <row r="344" spans="7:8" ht="12.75">
      <c r="G344" s="16"/>
      <c r="H344" s="16"/>
    </row>
    <row r="345" spans="7:8" ht="12.75">
      <c r="G345" s="16"/>
      <c r="H345" s="16"/>
    </row>
    <row r="346" spans="7:8" ht="12.75">
      <c r="G346" s="16"/>
      <c r="H346" s="16"/>
    </row>
    <row r="347" spans="7:8" ht="12.75">
      <c r="G347" s="16"/>
      <c r="H347" s="16"/>
    </row>
    <row r="348" spans="7:8" ht="12.75">
      <c r="G348" s="16"/>
      <c r="H348" s="16"/>
    </row>
    <row r="349" spans="7:8" ht="12.75">
      <c r="G349" s="16"/>
      <c r="H349" s="16"/>
    </row>
    <row r="350" spans="7:8" ht="12.75">
      <c r="G350" s="16"/>
      <c r="H350" s="16"/>
    </row>
    <row r="351" spans="7:8" ht="12.75">
      <c r="G351" s="16"/>
      <c r="H351" s="16"/>
    </row>
    <row r="352" spans="7:8" ht="12.75">
      <c r="G352" s="16"/>
      <c r="H352" s="16"/>
    </row>
    <row r="353" spans="7:8" ht="12.75">
      <c r="G353" s="16"/>
      <c r="H353" s="16"/>
    </row>
    <row r="354" spans="7:8" ht="12.75">
      <c r="G354" s="16"/>
      <c r="H354" s="16"/>
    </row>
    <row r="355" spans="7:8" ht="12.75">
      <c r="G355" s="16"/>
      <c r="H355" s="16"/>
    </row>
    <row r="356" spans="7:8" ht="12.75">
      <c r="G356" s="16"/>
      <c r="H356" s="16"/>
    </row>
    <row r="357" spans="7:8" ht="12.75">
      <c r="G357" s="16"/>
      <c r="H357" s="16"/>
    </row>
    <row r="358" spans="7:8" ht="12.75">
      <c r="G358" s="16"/>
      <c r="H358" s="16"/>
    </row>
    <row r="359" spans="7:8" ht="12.75">
      <c r="G359" s="16"/>
      <c r="H359" s="16"/>
    </row>
    <row r="360" spans="7:8" ht="12.75">
      <c r="G360" s="16"/>
      <c r="H360" s="16"/>
    </row>
    <row r="361" spans="7:8" ht="12.75">
      <c r="G361" s="16"/>
      <c r="H361" s="16"/>
    </row>
    <row r="362" spans="7:8" ht="12.75">
      <c r="G362" s="16"/>
      <c r="H362" s="16"/>
    </row>
    <row r="363" spans="7:8" ht="12.75">
      <c r="G363" s="16"/>
      <c r="H363" s="16"/>
    </row>
    <row r="364" spans="7:8" ht="12.75">
      <c r="G364" s="16"/>
      <c r="H364" s="16"/>
    </row>
    <row r="365" spans="7:8" ht="12.75">
      <c r="G365" s="16"/>
      <c r="H365" s="16"/>
    </row>
    <row r="366" spans="7:8" ht="12.75">
      <c r="G366" s="16"/>
      <c r="H366" s="16"/>
    </row>
    <row r="367" spans="7:8" ht="12.75">
      <c r="G367" s="16"/>
      <c r="H367" s="16"/>
    </row>
    <row r="368" spans="7:8" ht="12.75">
      <c r="G368" s="16"/>
      <c r="H368" s="16"/>
    </row>
    <row r="369" spans="7:8" ht="12.75">
      <c r="G369" s="16"/>
      <c r="H369" s="16"/>
    </row>
    <row r="370" spans="7:8" ht="12.75">
      <c r="G370" s="16"/>
      <c r="H370" s="16"/>
    </row>
    <row r="371" spans="7:8" ht="12.75">
      <c r="G371" s="16"/>
      <c r="H371" s="16"/>
    </row>
    <row r="372" spans="7:8" ht="12.75">
      <c r="G372" s="16"/>
      <c r="H372" s="16"/>
    </row>
    <row r="373" spans="7:8" ht="12.75">
      <c r="G373" s="16"/>
      <c r="H373" s="16"/>
    </row>
    <row r="374" spans="7:8" ht="12.75">
      <c r="G374" s="16"/>
      <c r="H374" s="16"/>
    </row>
    <row r="375" spans="7:8" ht="12.75">
      <c r="G375" s="16"/>
      <c r="H375" s="16"/>
    </row>
    <row r="376" spans="7:8" ht="12.75">
      <c r="G376" s="16"/>
      <c r="H376" s="16"/>
    </row>
    <row r="377" spans="7:8" ht="12.75">
      <c r="G377" s="16"/>
      <c r="H377" s="16"/>
    </row>
    <row r="378" spans="7:8" ht="12.75">
      <c r="G378" s="16"/>
      <c r="H378" s="16"/>
    </row>
    <row r="379" spans="7:8" ht="12.75">
      <c r="G379" s="16"/>
      <c r="H379" s="16"/>
    </row>
    <row r="380" spans="7:8" ht="12.75">
      <c r="G380" s="16"/>
      <c r="H380" s="16"/>
    </row>
    <row r="381" spans="7:8" ht="12.75">
      <c r="G381" s="16"/>
      <c r="H381" s="16"/>
    </row>
    <row r="382" spans="7:8" ht="12.75">
      <c r="G382" s="16"/>
      <c r="H382" s="16"/>
    </row>
    <row r="383" spans="7:8" ht="12.75">
      <c r="G383" s="16"/>
      <c r="H383" s="16"/>
    </row>
    <row r="384" spans="7:8" ht="12.75">
      <c r="G384" s="16"/>
      <c r="H384" s="16"/>
    </row>
    <row r="385" spans="7:8" ht="12.75">
      <c r="G385" s="16"/>
      <c r="H385" s="16"/>
    </row>
    <row r="386" spans="7:8" ht="12.75">
      <c r="G386" s="16"/>
      <c r="H386" s="16"/>
    </row>
    <row r="387" spans="7:8" ht="12.75">
      <c r="G387" s="16"/>
      <c r="H387" s="16"/>
    </row>
    <row r="388" spans="7:8" ht="12.75">
      <c r="G388" s="16"/>
      <c r="H388" s="16"/>
    </row>
    <row r="389" spans="7:8" ht="12.75">
      <c r="G389" s="16"/>
      <c r="H389" s="16"/>
    </row>
    <row r="390" spans="7:8" ht="12.75">
      <c r="G390" s="16"/>
      <c r="H390" s="16"/>
    </row>
    <row r="391" spans="7:8" ht="12.75">
      <c r="G391" s="16"/>
      <c r="H391" s="16"/>
    </row>
    <row r="392" spans="7:8" ht="12.75">
      <c r="G392" s="16"/>
      <c r="H392" s="16"/>
    </row>
    <row r="393" spans="7:8" ht="12.75">
      <c r="G393" s="16"/>
      <c r="H393" s="16"/>
    </row>
    <row r="394" spans="7:8" ht="12.75">
      <c r="G394" s="16"/>
      <c r="H394" s="16"/>
    </row>
    <row r="395" spans="7:8" ht="12.75">
      <c r="G395" s="16"/>
      <c r="H395" s="16"/>
    </row>
    <row r="396" spans="7:8" ht="12.75">
      <c r="G396" s="16"/>
      <c r="H396" s="16"/>
    </row>
    <row r="397" spans="7:8" ht="12.75">
      <c r="G397" s="16"/>
      <c r="H397" s="1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4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7" sqref="G57"/>
    </sheetView>
  </sheetViews>
  <sheetFormatPr defaultColWidth="9.00390625" defaultRowHeight="12.75"/>
  <cols>
    <col min="1" max="1" width="66.875" style="24" customWidth="1"/>
    <col min="2" max="2" width="19.00390625" style="24" customWidth="1"/>
    <col min="3" max="3" width="18.375" style="9" customWidth="1"/>
    <col min="4" max="4" width="19.00390625" style="9" customWidth="1"/>
    <col min="5" max="5" width="17.25390625" style="9" customWidth="1"/>
    <col min="6" max="7" width="19.375" style="9" customWidth="1"/>
    <col min="8" max="8" width="19.75390625" style="9" customWidth="1"/>
    <col min="9" max="9" width="21.00390625" style="9" customWidth="1"/>
    <col min="10" max="10" width="9.125" style="9" customWidth="1"/>
    <col min="11" max="11" width="21.125" style="9" bestFit="1" customWidth="1"/>
    <col min="12" max="12" width="31.375" style="9" bestFit="1" customWidth="1"/>
    <col min="13" max="16384" width="9.125" style="9" customWidth="1"/>
  </cols>
  <sheetData>
    <row r="1" spans="1:9" ht="30">
      <c r="A1" s="174" t="s">
        <v>117</v>
      </c>
      <c r="B1" s="174"/>
      <c r="C1" s="174"/>
      <c r="D1" s="174"/>
      <c r="E1" s="174"/>
      <c r="F1" s="174"/>
      <c r="G1" s="174"/>
      <c r="H1" s="174"/>
      <c r="I1" s="174"/>
    </row>
    <row r="2" spans="1:8" ht="9.75" customHeight="1" thickBot="1">
      <c r="A2" s="17"/>
      <c r="B2" s="17"/>
      <c r="C2" s="8"/>
      <c r="D2" s="8"/>
      <c r="E2" s="8"/>
      <c r="F2" s="8"/>
      <c r="G2" s="8"/>
      <c r="H2" s="8"/>
    </row>
    <row r="3" spans="1:9" ht="29.25" customHeight="1">
      <c r="A3" s="178" t="s">
        <v>38</v>
      </c>
      <c r="B3" s="181" t="s">
        <v>114</v>
      </c>
      <c r="C3" s="175" t="s">
        <v>110</v>
      </c>
      <c r="D3" s="175" t="s">
        <v>23</v>
      </c>
      <c r="E3" s="175" t="s">
        <v>22</v>
      </c>
      <c r="F3" s="175" t="s">
        <v>115</v>
      </c>
      <c r="G3" s="175" t="s">
        <v>111</v>
      </c>
      <c r="H3" s="175" t="s">
        <v>116</v>
      </c>
      <c r="I3" s="175" t="s">
        <v>112</v>
      </c>
    </row>
    <row r="4" spans="1:9" ht="24.75" customHeight="1">
      <c r="A4" s="179"/>
      <c r="B4" s="182"/>
      <c r="C4" s="176"/>
      <c r="D4" s="176"/>
      <c r="E4" s="176"/>
      <c r="F4" s="176"/>
      <c r="G4" s="176"/>
      <c r="H4" s="176"/>
      <c r="I4" s="176"/>
    </row>
    <row r="5" spans="1:10" ht="39" customHeight="1" thickBot="1">
      <c r="A5" s="180"/>
      <c r="B5" s="183"/>
      <c r="C5" s="177"/>
      <c r="D5" s="177"/>
      <c r="E5" s="177"/>
      <c r="F5" s="177"/>
      <c r="G5" s="177"/>
      <c r="H5" s="177"/>
      <c r="I5" s="177"/>
      <c r="J5" s="158"/>
    </row>
    <row r="6" spans="1:11" ht="18.75" thickBot="1">
      <c r="A6" s="18" t="s">
        <v>27</v>
      </c>
      <c r="B6" s="37">
        <f>478344.1+20.8</f>
        <v>478364.89999999997</v>
      </c>
      <c r="C6" s="38">
        <f>826775+13431.5+510-13431.5+16-2334+20.8</f>
        <v>824987.8</v>
      </c>
      <c r="D6" s="39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</f>
        <v>446229.30000000005</v>
      </c>
      <c r="E6" s="3">
        <f>D6/D154*100</f>
        <v>44.35672312615837</v>
      </c>
      <c r="F6" s="3">
        <f>D6/B6*100</f>
        <v>93.28219942558496</v>
      </c>
      <c r="G6" s="3">
        <f aca="true" t="shared" si="0" ref="G6:G43">D6/C6*100</f>
        <v>54.08919986453134</v>
      </c>
      <c r="H6" s="39">
        <f>B6-D6</f>
        <v>32135.59999999992</v>
      </c>
      <c r="I6" s="39">
        <f aca="true" t="shared" si="1" ref="I6:I43">C6-D6</f>
        <v>378758.5</v>
      </c>
      <c r="J6" s="158"/>
      <c r="K6" s="156"/>
    </row>
    <row r="7" spans="1:12" s="93" customFormat="1" ht="18.75">
      <c r="A7" s="142" t="s">
        <v>79</v>
      </c>
      <c r="B7" s="143">
        <v>163866.5</v>
      </c>
      <c r="C7" s="144">
        <v>262517.6</v>
      </c>
      <c r="D7" s="145">
        <f>8282.7+10875.2+9132.6+9963.6+4.3+9215.1+9968.6+9459.9+11450.4+9572.3+23759.4-0.1+3644+36528.9+8511.9</f>
        <v>160368.8</v>
      </c>
      <c r="E7" s="146">
        <f>D7/D6*100</f>
        <v>35.938653064691174</v>
      </c>
      <c r="F7" s="146">
        <f>D7/B7*100</f>
        <v>97.86551857762264</v>
      </c>
      <c r="G7" s="146">
        <f>D7/C7*100</f>
        <v>61.088780333204326</v>
      </c>
      <c r="H7" s="145">
        <f>B7-D7</f>
        <v>3497.7000000000116</v>
      </c>
      <c r="I7" s="145">
        <f t="shared" si="1"/>
        <v>102148.79999999999</v>
      </c>
      <c r="J7" s="159"/>
      <c r="K7" s="156"/>
      <c r="L7" s="141"/>
    </row>
    <row r="8" spans="1:12" s="92" customFormat="1" ht="18">
      <c r="A8" s="103" t="s">
        <v>3</v>
      </c>
      <c r="B8" s="128">
        <f>381419.8+97.3</f>
        <v>381517.1</v>
      </c>
      <c r="C8" s="129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</f>
        <v>367803.7000000001</v>
      </c>
      <c r="E8" s="107">
        <f>D8/D6*100</f>
        <v>82.42482060232264</v>
      </c>
      <c r="F8" s="107">
        <f>D8/B8*100</f>
        <v>96.40556085166304</v>
      </c>
      <c r="G8" s="107">
        <f t="shared" si="0"/>
        <v>56.09864537929046</v>
      </c>
      <c r="H8" s="105">
        <f>B8-D8</f>
        <v>13713.399999999849</v>
      </c>
      <c r="I8" s="105">
        <f t="shared" si="1"/>
        <v>287833.6999999999</v>
      </c>
      <c r="J8" s="158"/>
      <c r="K8" s="156"/>
      <c r="L8" s="141"/>
    </row>
    <row r="9" spans="1:12" s="92" customFormat="1" ht="18">
      <c r="A9" s="103" t="s">
        <v>2</v>
      </c>
      <c r="B9" s="128">
        <v>30.8</v>
      </c>
      <c r="C9" s="129">
        <v>97.7</v>
      </c>
      <c r="D9" s="105">
        <f>3.4+5.4+0.8+4.1+3.6+0.3+0.3+3.4</f>
        <v>21.3</v>
      </c>
      <c r="E9" s="130">
        <f>D9/D6*100</f>
        <v>0.004773330662060963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58"/>
      <c r="K9" s="156"/>
      <c r="L9" s="141"/>
    </row>
    <row r="10" spans="1:12" s="92" customFormat="1" ht="18">
      <c r="A10" s="103" t="s">
        <v>1</v>
      </c>
      <c r="B10" s="128">
        <f>23709.2+12.6</f>
        <v>23721.8</v>
      </c>
      <c r="C10" s="129">
        <f>52816.3-8415.5-19.2</f>
        <v>44381.600000000006</v>
      </c>
      <c r="D10" s="147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</f>
        <v>14993.699999999995</v>
      </c>
      <c r="E10" s="107">
        <f>D10/D6*100</f>
        <v>3.360088636044292</v>
      </c>
      <c r="F10" s="107">
        <f aca="true" t="shared" si="3" ref="F10:F41">D10/B10*100</f>
        <v>63.2064177254677</v>
      </c>
      <c r="G10" s="107">
        <f t="shared" si="0"/>
        <v>33.783595003334696</v>
      </c>
      <c r="H10" s="105">
        <f t="shared" si="2"/>
        <v>8728.100000000004</v>
      </c>
      <c r="I10" s="105">
        <f t="shared" si="1"/>
        <v>29387.90000000001</v>
      </c>
      <c r="J10" s="158"/>
      <c r="K10" s="156"/>
      <c r="L10" s="141"/>
    </row>
    <row r="11" spans="1:12" s="92" customFormat="1" ht="18">
      <c r="A11" s="103" t="s">
        <v>0</v>
      </c>
      <c r="B11" s="128">
        <f>52258.5-97.3</f>
        <v>52161.2</v>
      </c>
      <c r="C11" s="129">
        <v>88172.4</v>
      </c>
      <c r="D11" s="148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</f>
        <v>50852.499999999985</v>
      </c>
      <c r="E11" s="107">
        <f>D11/D6*100</f>
        <v>11.396046830631692</v>
      </c>
      <c r="F11" s="107">
        <f t="shared" si="3"/>
        <v>97.49104698511535</v>
      </c>
      <c r="G11" s="107">
        <f t="shared" si="0"/>
        <v>57.67394332013191</v>
      </c>
      <c r="H11" s="105">
        <f t="shared" si="2"/>
        <v>1308.7000000000116</v>
      </c>
      <c r="I11" s="105">
        <f t="shared" si="1"/>
        <v>37319.90000000001</v>
      </c>
      <c r="J11" s="158"/>
      <c r="K11" s="156"/>
      <c r="L11" s="141"/>
    </row>
    <row r="12" spans="1:12" s="92" customFormat="1" ht="18">
      <c r="A12" s="103" t="s">
        <v>14</v>
      </c>
      <c r="B12" s="128">
        <v>6519.6</v>
      </c>
      <c r="C12" s="129">
        <v>12738</v>
      </c>
      <c r="D12" s="105">
        <f>874.5+251.8+346.3+159.7+538.5+10.6+57+168.9+31.7+165.3+10.6+439.5+199.1+10.6+10.6+19+325.9+10.6+160.6+453.5-0.1+21.1+21.1+563.9+19+160.9+282.3+19+21.1+523.5+168.9+208.4+214.2</f>
        <v>6467.5999999999985</v>
      </c>
      <c r="E12" s="107">
        <f>D12/D6*100</f>
        <v>1.449389361030304</v>
      </c>
      <c r="F12" s="107">
        <f t="shared" si="3"/>
        <v>99.20240505552485</v>
      </c>
      <c r="G12" s="107">
        <f t="shared" si="0"/>
        <v>50.77406186214475</v>
      </c>
      <c r="H12" s="105">
        <f>B12-D12</f>
        <v>52.00000000000182</v>
      </c>
      <c r="I12" s="105">
        <f t="shared" si="1"/>
        <v>6270.4000000000015</v>
      </c>
      <c r="J12" s="158"/>
      <c r="K12" s="156"/>
      <c r="L12" s="141"/>
    </row>
    <row r="13" spans="1:12" s="92" customFormat="1" ht="18.75" thickBot="1">
      <c r="A13" s="103" t="s">
        <v>28</v>
      </c>
      <c r="B13" s="129">
        <f>B6-B8-B9-B10-B11-B12</f>
        <v>14414.399999999985</v>
      </c>
      <c r="C13" s="129">
        <f>C6-C8-C9-C10-C11-C12</f>
        <v>23960.70000000001</v>
      </c>
      <c r="D13" s="129">
        <f>D6-D8-D9-D10-D11-D12</f>
        <v>6090.4999999999345</v>
      </c>
      <c r="E13" s="107">
        <f>D13/D6*100</f>
        <v>1.364881239309013</v>
      </c>
      <c r="F13" s="107">
        <f t="shared" si="3"/>
        <v>42.25288600288559</v>
      </c>
      <c r="G13" s="107">
        <f t="shared" si="0"/>
        <v>25.418706465169766</v>
      </c>
      <c r="H13" s="105">
        <f t="shared" si="2"/>
        <v>8323.90000000005</v>
      </c>
      <c r="I13" s="105">
        <f t="shared" si="1"/>
        <v>17870.200000000077</v>
      </c>
      <c r="J13" s="158"/>
      <c r="K13" s="156"/>
      <c r="L13" s="141"/>
    </row>
    <row r="14" spans="1:13" s="30" customFormat="1" ht="18.75" customHeight="1" hidden="1">
      <c r="A14" s="73" t="s">
        <v>59</v>
      </c>
      <c r="B14" s="71"/>
      <c r="C14" s="71"/>
      <c r="D14" s="71"/>
      <c r="E14" s="72"/>
      <c r="F14" s="72" t="e">
        <f>D14/B14*100</f>
        <v>#DIV/0!</v>
      </c>
      <c r="G14" s="72" t="e">
        <f>D14/C14*100</f>
        <v>#DIV/0!</v>
      </c>
      <c r="H14" s="78">
        <f>B14-D14</f>
        <v>0</v>
      </c>
      <c r="I14" s="78">
        <f>C14-D14</f>
        <v>0</v>
      </c>
      <c r="J14" s="159"/>
      <c r="K14" s="9"/>
      <c r="L14" s="9"/>
      <c r="M14" s="9"/>
    </row>
    <row r="15" spans="1:13" s="30" customFormat="1" ht="18.75" customHeight="1" hidden="1">
      <c r="A15" s="73" t="s">
        <v>56</v>
      </c>
      <c r="B15" s="71"/>
      <c r="C15" s="71"/>
      <c r="D15" s="71"/>
      <c r="E15" s="72"/>
      <c r="F15" s="72" t="e">
        <f>D15/B15*100</f>
        <v>#DIV/0!</v>
      </c>
      <c r="G15" s="72" t="e">
        <f>D15/C15*100</f>
        <v>#DIV/0!</v>
      </c>
      <c r="H15" s="78">
        <f>B15-D15</f>
        <v>0</v>
      </c>
      <c r="I15" s="78">
        <f>C15-D15</f>
        <v>0</v>
      </c>
      <c r="J15" s="159"/>
      <c r="K15" s="9"/>
      <c r="L15" s="9"/>
      <c r="M15" s="9"/>
    </row>
    <row r="16" spans="1:13" s="30" customFormat="1" ht="19.5" hidden="1" thickBot="1">
      <c r="A16" s="73" t="s">
        <v>57</v>
      </c>
      <c r="B16" s="71"/>
      <c r="C16" s="71"/>
      <c r="D16" s="71"/>
      <c r="E16" s="72"/>
      <c r="F16" s="72" t="e">
        <f>D16/B16*100</f>
        <v>#DIV/0!</v>
      </c>
      <c r="G16" s="72" t="e">
        <f>D16/C16*100</f>
        <v>#DIV/0!</v>
      </c>
      <c r="H16" s="78">
        <f>B16-D16</f>
        <v>0</v>
      </c>
      <c r="I16" s="78">
        <f>C16-D16</f>
        <v>0</v>
      </c>
      <c r="J16" s="159"/>
      <c r="K16" s="9"/>
      <c r="L16" s="9"/>
      <c r="M16" s="9"/>
    </row>
    <row r="17" spans="1:13" s="30" customFormat="1" ht="19.5" hidden="1" thickBot="1">
      <c r="A17" s="73" t="s">
        <v>58</v>
      </c>
      <c r="B17" s="71"/>
      <c r="C17" s="71"/>
      <c r="D17" s="71"/>
      <c r="E17" s="72"/>
      <c r="F17" s="72" t="e">
        <f>D17/B17*100</f>
        <v>#DIV/0!</v>
      </c>
      <c r="G17" s="72" t="e">
        <f>D17/C17*100</f>
        <v>#DIV/0!</v>
      </c>
      <c r="H17" s="78">
        <f>B17-D17</f>
        <v>0</v>
      </c>
      <c r="I17" s="78">
        <f>C17-D17</f>
        <v>0</v>
      </c>
      <c r="J17" s="159"/>
      <c r="K17" s="9"/>
      <c r="L17" s="9"/>
      <c r="M17" s="9"/>
    </row>
    <row r="18" spans="1:11" ht="18.75" thickBot="1">
      <c r="A18" s="18" t="s">
        <v>19</v>
      </c>
      <c r="B18" s="37">
        <f>211802.5+185.6</f>
        <v>211988.1</v>
      </c>
      <c r="C18" s="38">
        <f>424151.5+750.3+185.6</f>
        <v>425087.39999999997</v>
      </c>
      <c r="D18" s="39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</f>
        <v>204629.09999999998</v>
      </c>
      <c r="E18" s="3">
        <f>D18/D154*100</f>
        <v>20.340834481857133</v>
      </c>
      <c r="F18" s="3">
        <f>D18/B18*100</f>
        <v>96.52857872682475</v>
      </c>
      <c r="G18" s="3">
        <f t="shared" si="0"/>
        <v>48.13812406578035</v>
      </c>
      <c r="H18" s="39">
        <f>B18-D18</f>
        <v>7359.000000000029</v>
      </c>
      <c r="I18" s="39">
        <f t="shared" si="1"/>
        <v>220458.3</v>
      </c>
      <c r="J18" s="158"/>
      <c r="K18" s="156"/>
    </row>
    <row r="19" spans="1:13" s="93" customFormat="1" ht="18.75">
      <c r="A19" s="142" t="s">
        <v>80</v>
      </c>
      <c r="B19" s="143">
        <f>132767.8+185.6</f>
        <v>132953.4</v>
      </c>
      <c r="C19" s="144">
        <f>226186+750.3+185.6</f>
        <v>227121.9</v>
      </c>
      <c r="D19" s="145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</f>
        <v>132645.3</v>
      </c>
      <c r="E19" s="146">
        <f>D19/D18*100</f>
        <v>64.82230533193959</v>
      </c>
      <c r="F19" s="146">
        <f t="shared" si="3"/>
        <v>99.76826467017766</v>
      </c>
      <c r="G19" s="146">
        <f t="shared" si="0"/>
        <v>58.40269036143145</v>
      </c>
      <c r="H19" s="145">
        <f t="shared" si="2"/>
        <v>308.1000000000058</v>
      </c>
      <c r="I19" s="145">
        <f t="shared" si="1"/>
        <v>94476.6</v>
      </c>
      <c r="K19" s="156"/>
      <c r="L19" s="92"/>
      <c r="M19" s="92"/>
    </row>
    <row r="20" spans="1:11" s="92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6">
        <f>C20-B20</f>
        <v>0</v>
      </c>
    </row>
    <row r="21" spans="1:11" s="92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6">
        <f>C21-B21</f>
        <v>0</v>
      </c>
    </row>
    <row r="22" spans="1:11" s="92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6">
        <f>C22-B22</f>
        <v>0</v>
      </c>
    </row>
    <row r="23" spans="1:11" s="92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6">
        <f>C23-B23</f>
        <v>0</v>
      </c>
    </row>
    <row r="24" spans="1:11" s="92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6">
        <f>C24-B24</f>
        <v>0</v>
      </c>
    </row>
    <row r="25" spans="1:11" s="92" customFormat="1" ht="18.75" thickBot="1">
      <c r="A25" s="103" t="s">
        <v>28</v>
      </c>
      <c r="B25" s="129">
        <f>B18</f>
        <v>211988.1</v>
      </c>
      <c r="C25" s="129">
        <f>C18</f>
        <v>425087.39999999997</v>
      </c>
      <c r="D25" s="129">
        <f>D18</f>
        <v>204629.09999999998</v>
      </c>
      <c r="E25" s="107">
        <f>D25/D18*100</f>
        <v>100</v>
      </c>
      <c r="F25" s="107">
        <f t="shared" si="3"/>
        <v>96.52857872682475</v>
      </c>
      <c r="G25" s="107">
        <f t="shared" si="0"/>
        <v>48.13812406578035</v>
      </c>
      <c r="H25" s="105">
        <f t="shared" si="2"/>
        <v>7359.000000000029</v>
      </c>
      <c r="I25" s="105">
        <f t="shared" si="1"/>
        <v>220458.3</v>
      </c>
      <c r="K25" s="156"/>
    </row>
    <row r="26" spans="1:11" ht="57" hidden="1" thickBot="1">
      <c r="A26" s="73" t="s">
        <v>67</v>
      </c>
      <c r="B26" s="35"/>
      <c r="C26" s="35"/>
      <c r="D26" s="35"/>
      <c r="E26" s="1"/>
      <c r="F26" s="1" t="e">
        <f t="shared" si="3"/>
        <v>#DIV/0!</v>
      </c>
      <c r="G26" s="1" t="e">
        <f t="shared" si="0"/>
        <v>#DIV/0!</v>
      </c>
      <c r="H26" s="36">
        <f t="shared" si="2"/>
        <v>0</v>
      </c>
      <c r="I26" s="36">
        <f t="shared" si="1"/>
        <v>0</v>
      </c>
      <c r="J26" s="92"/>
      <c r="K26" s="156">
        <f aca="true" t="shared" si="4" ref="K26:K32">C26-B26</f>
        <v>0</v>
      </c>
    </row>
    <row r="27" spans="1:11" ht="36.75" customHeight="1" hidden="1">
      <c r="A27" s="73" t="s">
        <v>68</v>
      </c>
      <c r="B27" s="35"/>
      <c r="C27" s="35"/>
      <c r="D27" s="35"/>
      <c r="E27" s="1"/>
      <c r="F27" s="1" t="e">
        <f t="shared" si="3"/>
        <v>#DIV/0!</v>
      </c>
      <c r="G27" s="1" t="e">
        <f t="shared" si="0"/>
        <v>#DIV/0!</v>
      </c>
      <c r="H27" s="36">
        <f t="shared" si="2"/>
        <v>0</v>
      </c>
      <c r="I27" s="36">
        <f t="shared" si="1"/>
        <v>0</v>
      </c>
      <c r="J27" s="92"/>
      <c r="K27" s="156">
        <f t="shared" si="4"/>
        <v>0</v>
      </c>
    </row>
    <row r="28" spans="1:11" ht="19.5" hidden="1" thickBot="1">
      <c r="A28" s="73" t="s">
        <v>69</v>
      </c>
      <c r="B28" s="35"/>
      <c r="C28" s="35"/>
      <c r="D28" s="35"/>
      <c r="E28" s="1"/>
      <c r="F28" s="1" t="e">
        <f t="shared" si="3"/>
        <v>#DIV/0!</v>
      </c>
      <c r="G28" s="1" t="e">
        <f t="shared" si="0"/>
        <v>#DIV/0!</v>
      </c>
      <c r="H28" s="36">
        <f t="shared" si="2"/>
        <v>0</v>
      </c>
      <c r="I28" s="36">
        <f t="shared" si="1"/>
        <v>0</v>
      </c>
      <c r="J28" s="92"/>
      <c r="K28" s="156">
        <f t="shared" si="4"/>
        <v>0</v>
      </c>
    </row>
    <row r="29" spans="1:11" ht="39.75" customHeight="1" hidden="1">
      <c r="A29" s="73" t="s">
        <v>70</v>
      </c>
      <c r="B29" s="35"/>
      <c r="C29" s="35"/>
      <c r="D29" s="35"/>
      <c r="E29" s="1"/>
      <c r="F29" s="1" t="e">
        <f t="shared" si="3"/>
        <v>#DIV/0!</v>
      </c>
      <c r="G29" s="1" t="e">
        <f t="shared" si="0"/>
        <v>#DIV/0!</v>
      </c>
      <c r="H29" s="36">
        <f t="shared" si="2"/>
        <v>0</v>
      </c>
      <c r="I29" s="36">
        <f t="shared" si="1"/>
        <v>0</v>
      </c>
      <c r="J29" s="92"/>
      <c r="K29" s="156">
        <f t="shared" si="4"/>
        <v>0</v>
      </c>
    </row>
    <row r="30" spans="1:11" ht="37.5" customHeight="1" hidden="1">
      <c r="A30" s="73" t="s">
        <v>71</v>
      </c>
      <c r="B30" s="35"/>
      <c r="C30" s="35"/>
      <c r="D30" s="35"/>
      <c r="E30" s="1"/>
      <c r="F30" s="1" t="e">
        <f>D30/B30*100</f>
        <v>#DIV/0!</v>
      </c>
      <c r="G30" s="1" t="e">
        <f t="shared" si="0"/>
        <v>#DIV/0!</v>
      </c>
      <c r="H30" s="36">
        <f t="shared" si="2"/>
        <v>0</v>
      </c>
      <c r="I30" s="36">
        <f t="shared" si="1"/>
        <v>0</v>
      </c>
      <c r="J30" s="92"/>
      <c r="K30" s="156">
        <f t="shared" si="4"/>
        <v>0</v>
      </c>
    </row>
    <row r="31" spans="1:11" ht="36" customHeight="1" hidden="1">
      <c r="A31" s="73" t="s">
        <v>72</v>
      </c>
      <c r="B31" s="35"/>
      <c r="C31" s="35"/>
      <c r="D31" s="35"/>
      <c r="E31" s="1"/>
      <c r="F31" s="1" t="e">
        <f t="shared" si="3"/>
        <v>#DIV/0!</v>
      </c>
      <c r="G31" s="1" t="e">
        <f t="shared" si="0"/>
        <v>#DIV/0!</v>
      </c>
      <c r="H31" s="36">
        <f t="shared" si="2"/>
        <v>0</v>
      </c>
      <c r="I31" s="36">
        <f t="shared" si="1"/>
        <v>0</v>
      </c>
      <c r="J31" s="92"/>
      <c r="K31" s="156">
        <f t="shared" si="4"/>
        <v>0</v>
      </c>
    </row>
    <row r="32" spans="1:11" ht="19.5" hidden="1" thickBot="1">
      <c r="A32" s="73" t="s">
        <v>73</v>
      </c>
      <c r="B32" s="35"/>
      <c r="C32" s="35"/>
      <c r="D32" s="35"/>
      <c r="E32" s="1"/>
      <c r="F32" s="1" t="e">
        <f t="shared" si="3"/>
        <v>#DIV/0!</v>
      </c>
      <c r="G32" s="1" t="e">
        <f t="shared" si="0"/>
        <v>#DIV/0!</v>
      </c>
      <c r="H32" s="36">
        <f t="shared" si="2"/>
        <v>0</v>
      </c>
      <c r="I32" s="36">
        <f t="shared" si="1"/>
        <v>0</v>
      </c>
      <c r="J32" s="92"/>
      <c r="K32" s="156">
        <f t="shared" si="4"/>
        <v>0</v>
      </c>
    </row>
    <row r="33" spans="1:11" ht="18.75" thickBot="1">
      <c r="A33" s="18" t="s">
        <v>17</v>
      </c>
      <c r="B33" s="37">
        <f>12240.8-17.2</f>
        <v>12223.599999999999</v>
      </c>
      <c r="C33" s="38">
        <f>24805.1-17.2</f>
        <v>24787.899999999998</v>
      </c>
      <c r="D33" s="41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</f>
        <v>10921.699999999999</v>
      </c>
      <c r="E33" s="3">
        <f>D33/D154*100</f>
        <v>1.0856544448492373</v>
      </c>
      <c r="F33" s="3">
        <f>D33/B33*100</f>
        <v>89.34929153440885</v>
      </c>
      <c r="G33" s="3">
        <f t="shared" si="0"/>
        <v>44.06061021708172</v>
      </c>
      <c r="H33" s="39">
        <f t="shared" si="2"/>
        <v>1301.8999999999996</v>
      </c>
      <c r="I33" s="39">
        <f t="shared" si="1"/>
        <v>13866.199999999999</v>
      </c>
      <c r="J33" s="170"/>
      <c r="K33" s="156"/>
    </row>
    <row r="34" spans="1:11" s="92" customFormat="1" ht="18">
      <c r="A34" s="103" t="s">
        <v>3</v>
      </c>
      <c r="B34" s="128">
        <v>6385.5</v>
      </c>
      <c r="C34" s="129">
        <v>12906.6</v>
      </c>
      <c r="D34" s="105">
        <f>364.6+548.1+389.3+522.2+63+395+556.7+63+391.3+512.8+63+394.6+664.3+89.8+0.3+456.7+632.3+12</f>
        <v>6119.000000000001</v>
      </c>
      <c r="E34" s="107">
        <f>D34/D33*100</f>
        <v>56.026076526548074</v>
      </c>
      <c r="F34" s="107">
        <f t="shared" si="3"/>
        <v>95.82648187299353</v>
      </c>
      <c r="G34" s="107">
        <f t="shared" si="0"/>
        <v>47.40985232361738</v>
      </c>
      <c r="H34" s="105">
        <f t="shared" si="2"/>
        <v>266.4999999999991</v>
      </c>
      <c r="I34" s="105">
        <f t="shared" si="1"/>
        <v>6787.599999999999</v>
      </c>
      <c r="K34" s="156"/>
    </row>
    <row r="35" spans="1:11" s="92" customFormat="1" ht="18">
      <c r="A35" s="103" t="s">
        <v>1</v>
      </c>
      <c r="B35" s="128">
        <v>59.6</v>
      </c>
      <c r="C35" s="129">
        <v>81.1</v>
      </c>
      <c r="D35" s="105">
        <f>6.8+8.7+11.6+32.5</f>
        <v>59.6</v>
      </c>
      <c r="E35" s="107">
        <f>D35/D33*100</f>
        <v>0.5457025920873125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K35" s="156"/>
    </row>
    <row r="36" spans="1:11" s="92" customFormat="1" ht="18">
      <c r="A36" s="103" t="s">
        <v>0</v>
      </c>
      <c r="B36" s="128">
        <v>1014.6</v>
      </c>
      <c r="C36" s="129">
        <v>1783</v>
      </c>
      <c r="D36" s="105">
        <f>0.3+11.3+141.7+12.6+0.9+12.9+1.3+0.5+169.4+1.1+0.1+0.4+11.3+166.1+3.8+5.1+2.9+0.2+0.5+11.9+319.9+44.3+12.2+0.9-0.2+8.4+29.5+8.6+0.2</f>
        <v>978.0999999999999</v>
      </c>
      <c r="E36" s="107">
        <f>D36/D33*100</f>
        <v>8.955565525513427</v>
      </c>
      <c r="F36" s="107">
        <f t="shared" si="3"/>
        <v>96.40252316183717</v>
      </c>
      <c r="G36" s="107">
        <f t="shared" si="0"/>
        <v>54.856982613572626</v>
      </c>
      <c r="H36" s="105">
        <f t="shared" si="2"/>
        <v>36.500000000000114</v>
      </c>
      <c r="I36" s="105">
        <f t="shared" si="1"/>
        <v>804.9000000000001</v>
      </c>
      <c r="K36" s="156"/>
    </row>
    <row r="37" spans="1:12" s="93" customFormat="1" ht="18.75">
      <c r="A37" s="119" t="s">
        <v>7</v>
      </c>
      <c r="B37" s="139">
        <v>330.7</v>
      </c>
      <c r="C37" s="140">
        <v>1008</v>
      </c>
      <c r="D37" s="110">
        <f>44.8+25.1+1.6+0.5+2.7+1+6.3+8.5+2.5+36.6+1.5+4.5+23.6+4.1+106.1+32.6+9.7+2.5+4.3+1.9</f>
        <v>320.4</v>
      </c>
      <c r="E37" s="114">
        <f>D37/D33*100</f>
        <v>2.933609236657297</v>
      </c>
      <c r="F37" s="114">
        <f t="shared" si="3"/>
        <v>96.88539461747807</v>
      </c>
      <c r="G37" s="114">
        <f t="shared" si="0"/>
        <v>31.785714285714285</v>
      </c>
      <c r="H37" s="110">
        <f t="shared" si="2"/>
        <v>10.300000000000011</v>
      </c>
      <c r="I37" s="110">
        <f t="shared" si="1"/>
        <v>687.6</v>
      </c>
      <c r="K37" s="156"/>
      <c r="L37" s="141"/>
    </row>
    <row r="38" spans="1:11" s="92" customFormat="1" ht="18">
      <c r="A38" s="103" t="s">
        <v>14</v>
      </c>
      <c r="B38" s="128">
        <v>34.2</v>
      </c>
      <c r="C38" s="129">
        <f>80.8+8.7</f>
        <v>89.5</v>
      </c>
      <c r="D38" s="129">
        <f>5.1+5.1+5.1+5.1+5.1+8.7</f>
        <v>34.2</v>
      </c>
      <c r="E38" s="107">
        <f>D38/D33*100</f>
        <v>0.31313806458701493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6"/>
    </row>
    <row r="39" spans="1:11" s="92" customFormat="1" ht="18.75" thickBot="1">
      <c r="A39" s="103" t="s">
        <v>28</v>
      </c>
      <c r="B39" s="128">
        <f>B33-B34-B36-B37-B35-B38</f>
        <v>4398.999999999998</v>
      </c>
      <c r="C39" s="128">
        <f>C33-C34-C36-C37-C35-C38</f>
        <v>8919.699999999997</v>
      </c>
      <c r="D39" s="128">
        <f>D33-D34-D36-D37-D35-D38</f>
        <v>3410.3999999999983</v>
      </c>
      <c r="E39" s="107">
        <f>D39/D33*100</f>
        <v>31.225908054606872</v>
      </c>
      <c r="F39" s="107">
        <f t="shared" si="3"/>
        <v>77.5267106160491</v>
      </c>
      <c r="G39" s="107">
        <f t="shared" si="0"/>
        <v>38.23446976916263</v>
      </c>
      <c r="H39" s="105">
        <f>B39-D39</f>
        <v>988.5999999999999</v>
      </c>
      <c r="I39" s="105">
        <f t="shared" si="1"/>
        <v>5509.299999999999</v>
      </c>
      <c r="K39" s="156"/>
    </row>
    <row r="40" spans="1:11" ht="19.5" hidden="1" thickBot="1">
      <c r="A40" s="73" t="s">
        <v>64</v>
      </c>
      <c r="B40" s="74"/>
      <c r="C40" s="74"/>
      <c r="D40" s="74"/>
      <c r="E40" s="72"/>
      <c r="F40" s="72" t="e">
        <f t="shared" si="3"/>
        <v>#DIV/0!</v>
      </c>
      <c r="G40" s="72" t="e">
        <f t="shared" si="0"/>
        <v>#DIV/0!</v>
      </c>
      <c r="H40" s="78">
        <f>B40-D40</f>
        <v>0</v>
      </c>
      <c r="I40" s="78">
        <f t="shared" si="1"/>
        <v>0</v>
      </c>
      <c r="J40" s="92"/>
      <c r="K40" s="156">
        <f>C40-B40</f>
        <v>0</v>
      </c>
    </row>
    <row r="41" spans="1:11" ht="19.5" hidden="1" thickBot="1">
      <c r="A41" s="73" t="s">
        <v>65</v>
      </c>
      <c r="B41" s="74"/>
      <c r="C41" s="74"/>
      <c r="D41" s="74"/>
      <c r="E41" s="72"/>
      <c r="F41" s="72" t="e">
        <f t="shared" si="3"/>
        <v>#DIV/0!</v>
      </c>
      <c r="G41" s="72" t="e">
        <f t="shared" si="0"/>
        <v>#DIV/0!</v>
      </c>
      <c r="H41" s="78">
        <f>B41-D41</f>
        <v>0</v>
      </c>
      <c r="I41" s="78">
        <f t="shared" si="1"/>
        <v>0</v>
      </c>
      <c r="J41" s="92"/>
      <c r="K41" s="156">
        <f>C41-B41</f>
        <v>0</v>
      </c>
    </row>
    <row r="42" spans="1:11" ht="19.5" hidden="1" thickBot="1">
      <c r="A42" s="73" t="s">
        <v>66</v>
      </c>
      <c r="B42" s="74"/>
      <c r="C42" s="74"/>
      <c r="D42" s="74"/>
      <c r="E42" s="72"/>
      <c r="F42" s="72"/>
      <c r="G42" s="72" t="e">
        <f t="shared" si="0"/>
        <v>#DIV/0!</v>
      </c>
      <c r="H42" s="78">
        <f>B42-D42</f>
        <v>0</v>
      </c>
      <c r="I42" s="78">
        <f t="shared" si="1"/>
        <v>0</v>
      </c>
      <c r="J42" s="92"/>
      <c r="K42" s="156">
        <f>C42-B42</f>
        <v>0</v>
      </c>
    </row>
    <row r="43" spans="1:11" ht="19.5" thickBot="1">
      <c r="A43" s="10" t="s">
        <v>16</v>
      </c>
      <c r="B43" s="75">
        <f>1153.7-36</f>
        <v>1117.7</v>
      </c>
      <c r="C43" s="38">
        <f>1126.9+467</f>
        <v>1593.9</v>
      </c>
      <c r="D43" s="39">
        <f>63.9+1.1+0.6+70.8+0.5+48+6.7+2+13.7+10.4+20.2+0.7+37.4+27+181.7+0.2+2.1+7.5</f>
        <v>494.49999999999994</v>
      </c>
      <c r="E43" s="3">
        <f>D43/D154*100</f>
        <v>0.04915499628976697</v>
      </c>
      <c r="F43" s="3">
        <f>D43/B43*100</f>
        <v>44.24264113805135</v>
      </c>
      <c r="G43" s="3">
        <f t="shared" si="0"/>
        <v>31.024531024531022</v>
      </c>
      <c r="H43" s="39">
        <f t="shared" si="2"/>
        <v>623.2</v>
      </c>
      <c r="I43" s="39">
        <f t="shared" si="1"/>
        <v>1099.4</v>
      </c>
      <c r="J43" s="92"/>
      <c r="K43" s="156"/>
    </row>
    <row r="44" spans="1:11" ht="12" customHeight="1" thickBot="1">
      <c r="A44" s="21"/>
      <c r="B44" s="45"/>
      <c r="C44" s="46"/>
      <c r="D44" s="47"/>
      <c r="E44" s="5"/>
      <c r="F44" s="5"/>
      <c r="G44" s="5"/>
      <c r="H44" s="47"/>
      <c r="I44" s="47"/>
      <c r="J44" s="92"/>
      <c r="K44" s="156"/>
    </row>
    <row r="45" spans="1:11" ht="18.75" thickBot="1">
      <c r="A45" s="18" t="s">
        <v>42</v>
      </c>
      <c r="B45" s="37">
        <v>6805.3</v>
      </c>
      <c r="C45" s="38">
        <v>13576.3</v>
      </c>
      <c r="D45" s="39">
        <f>237.1+562.8+52.3+349.2+679.9+375.9+891+78.3+327.4+13.5+670.2+386.5+179.9+781.7-0.1+25.5+366.5+16.5+692.2</f>
        <v>6686.299999999999</v>
      </c>
      <c r="E45" s="3">
        <f>D45/D154*100</f>
        <v>0.664641156101656</v>
      </c>
      <c r="F45" s="3">
        <f>D45/B45*100</f>
        <v>98.25136290832144</v>
      </c>
      <c r="G45" s="3">
        <f aca="true" t="shared" si="5" ref="G45:G76">D45/C45*100</f>
        <v>49.249795599684745</v>
      </c>
      <c r="H45" s="39">
        <f>B45-D45</f>
        <v>119.00000000000091</v>
      </c>
      <c r="I45" s="39">
        <f aca="true" t="shared" si="6" ref="I45:I77">C45-D45</f>
        <v>6890</v>
      </c>
      <c r="J45" s="92"/>
      <c r="K45" s="156"/>
    </row>
    <row r="46" spans="1:11" s="92" customFormat="1" ht="18">
      <c r="A46" s="103" t="s">
        <v>3</v>
      </c>
      <c r="B46" s="128">
        <v>6036.4</v>
      </c>
      <c r="C46" s="129">
        <v>12256.4</v>
      </c>
      <c r="D46" s="105">
        <f>237.1+551.8+334.1+652.5+314.7+746.1+319.2+661.7+342.8+781.7+0.2-0.1+366.5+692.2</f>
        <v>6000.499999999999</v>
      </c>
      <c r="E46" s="107">
        <f>D46/D45*100</f>
        <v>89.74320625757144</v>
      </c>
      <c r="F46" s="107">
        <f aca="true" t="shared" si="7" ref="F46:F74">D46/B46*100</f>
        <v>99.40527466702007</v>
      </c>
      <c r="G46" s="107">
        <f t="shared" si="5"/>
        <v>48.958095362422895</v>
      </c>
      <c r="H46" s="105">
        <f aca="true" t="shared" si="8" ref="H46:H74">B46-D46</f>
        <v>35.900000000000546</v>
      </c>
      <c r="I46" s="105">
        <f t="shared" si="6"/>
        <v>6255.900000000001</v>
      </c>
      <c r="K46" s="156"/>
    </row>
    <row r="47" spans="1:11" s="92" customFormat="1" ht="18">
      <c r="A47" s="103" t="s">
        <v>2</v>
      </c>
      <c r="B47" s="128">
        <v>0.8</v>
      </c>
      <c r="C47" s="129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6"/>
    </row>
    <row r="48" spans="1:11" s="92" customFormat="1" ht="18">
      <c r="A48" s="103" t="s">
        <v>1</v>
      </c>
      <c r="B48" s="128">
        <v>49</v>
      </c>
      <c r="C48" s="129">
        <v>98.9</v>
      </c>
      <c r="D48" s="105">
        <f>5.7+6.1+6.5+7.7+8.4</f>
        <v>34.4</v>
      </c>
      <c r="E48" s="107">
        <f>D48/D45*100</f>
        <v>0.5144848421398981</v>
      </c>
      <c r="F48" s="107">
        <f t="shared" si="7"/>
        <v>70.20408163265306</v>
      </c>
      <c r="G48" s="107">
        <f t="shared" si="5"/>
        <v>34.78260869565217</v>
      </c>
      <c r="H48" s="105">
        <f t="shared" si="8"/>
        <v>14.600000000000001</v>
      </c>
      <c r="I48" s="105">
        <f t="shared" si="6"/>
        <v>64.5</v>
      </c>
      <c r="K48" s="156"/>
    </row>
    <row r="49" spans="1:11" s="92" customFormat="1" ht="18">
      <c r="A49" s="103" t="s">
        <v>0</v>
      </c>
      <c r="B49" s="128">
        <v>562.4</v>
      </c>
      <c r="C49" s="129">
        <v>879.8</v>
      </c>
      <c r="D49" s="105">
        <f>7.3+51.9+12.7-0.1+54.5+131.2+49.5+2.4+7.9+11.2+178.3+0.4+4.1+0.1</f>
        <v>511.4</v>
      </c>
      <c r="E49" s="107">
        <f>D49/D45*100</f>
        <v>7.648475240416973</v>
      </c>
      <c r="F49" s="107">
        <f t="shared" si="7"/>
        <v>90.93172119487909</v>
      </c>
      <c r="G49" s="107">
        <f t="shared" si="5"/>
        <v>58.126847010684244</v>
      </c>
      <c r="H49" s="105">
        <f t="shared" si="8"/>
        <v>51</v>
      </c>
      <c r="I49" s="105">
        <f t="shared" si="6"/>
        <v>368.4</v>
      </c>
      <c r="K49" s="156"/>
    </row>
    <row r="50" spans="1:11" s="92" customFormat="1" ht="18.75" thickBot="1">
      <c r="A50" s="103" t="s">
        <v>28</v>
      </c>
      <c r="B50" s="129">
        <f>B45-B46-B49-B48-B47</f>
        <v>156.70000000000056</v>
      </c>
      <c r="C50" s="129">
        <f>C45-C46-C49-C48-C47</f>
        <v>339.6999999999997</v>
      </c>
      <c r="D50" s="129">
        <f>D45-D46-D49-D48-D47</f>
        <v>140.0000000000002</v>
      </c>
      <c r="E50" s="107">
        <f>D50/D45*100</f>
        <v>2.093833659871681</v>
      </c>
      <c r="F50" s="107">
        <f t="shared" si="7"/>
        <v>89.342693044033</v>
      </c>
      <c r="G50" s="107">
        <f t="shared" si="5"/>
        <v>41.21283485428329</v>
      </c>
      <c r="H50" s="105">
        <f t="shared" si="8"/>
        <v>16.700000000000358</v>
      </c>
      <c r="I50" s="105">
        <f t="shared" si="6"/>
        <v>199.6999999999995</v>
      </c>
      <c r="K50" s="156"/>
    </row>
    <row r="51" spans="1:11" ht="18.75" thickBot="1">
      <c r="A51" s="18" t="s">
        <v>4</v>
      </c>
      <c r="B51" s="37">
        <v>17581.2</v>
      </c>
      <c r="C51" s="38">
        <f>37135.4+450-426</f>
        <v>37159.4</v>
      </c>
      <c r="D51" s="39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</f>
        <v>15388.199999999995</v>
      </c>
      <c r="E51" s="3">
        <f>D51/D154*100</f>
        <v>1.5296398663421473</v>
      </c>
      <c r="F51" s="3">
        <f>D51/B51*100</f>
        <v>87.5264487065729</v>
      </c>
      <c r="G51" s="3">
        <f t="shared" si="5"/>
        <v>41.41132526359412</v>
      </c>
      <c r="H51" s="39">
        <f>B51-D51</f>
        <v>2193.0000000000055</v>
      </c>
      <c r="I51" s="39">
        <f t="shared" si="6"/>
        <v>21771.200000000004</v>
      </c>
      <c r="J51" s="92"/>
      <c r="K51" s="156"/>
    </row>
    <row r="52" spans="1:11" s="92" customFormat="1" ht="18">
      <c r="A52" s="103" t="s">
        <v>3</v>
      </c>
      <c r="B52" s="128">
        <v>10635</v>
      </c>
      <c r="C52" s="129">
        <v>20097.4</v>
      </c>
      <c r="D52" s="105">
        <f>632.9+34.3+767.3+737.6+710.6+649.6+792.4+1.6+643.1+825.6+650.1+947+1196.1+785.4</f>
        <v>9373.6</v>
      </c>
      <c r="E52" s="107">
        <f>D52/D51*100</f>
        <v>60.9142069897714</v>
      </c>
      <c r="F52" s="107">
        <f t="shared" si="7"/>
        <v>88.13916314057359</v>
      </c>
      <c r="G52" s="107">
        <f t="shared" si="5"/>
        <v>46.64085901658921</v>
      </c>
      <c r="H52" s="105">
        <f t="shared" si="8"/>
        <v>1261.3999999999996</v>
      </c>
      <c r="I52" s="105">
        <f t="shared" si="6"/>
        <v>10723.800000000001</v>
      </c>
      <c r="K52" s="156"/>
    </row>
    <row r="53" spans="1:11" s="92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6"/>
    </row>
    <row r="54" spans="1:11" s="92" customFormat="1" ht="18">
      <c r="A54" s="103" t="s">
        <v>1</v>
      </c>
      <c r="B54" s="128">
        <v>501</v>
      </c>
      <c r="C54" s="129">
        <v>993.6</v>
      </c>
      <c r="D54" s="105">
        <f>0.2+4.2+9+4.7+9.6+6.3+43.2+2.7+18.4+3.8+23.8+5.3+12.2+43.2+26.7+3.8+22.4+0.4+59.7+30.3+3.3+19.2+7+2.9+21+4.4-0.4+4.8+2.2+3.6+32.5+6.4+7.8</f>
        <v>444.6</v>
      </c>
      <c r="E54" s="107">
        <f>D54/D51*100</f>
        <v>2.8892268101532355</v>
      </c>
      <c r="F54" s="107">
        <f t="shared" si="7"/>
        <v>88.74251497005989</v>
      </c>
      <c r="G54" s="107">
        <f t="shared" si="5"/>
        <v>44.7463768115942</v>
      </c>
      <c r="H54" s="105">
        <f t="shared" si="8"/>
        <v>56.39999999999998</v>
      </c>
      <c r="I54" s="105">
        <f t="shared" si="6"/>
        <v>549</v>
      </c>
      <c r="K54" s="156"/>
    </row>
    <row r="55" spans="1:11" s="92" customFormat="1" ht="18">
      <c r="A55" s="103" t="s">
        <v>0</v>
      </c>
      <c r="B55" s="128">
        <v>605.6</v>
      </c>
      <c r="C55" s="129">
        <v>1219.9</v>
      </c>
      <c r="D55" s="105">
        <f>0.5+1+2.8+12.3+8.3+0.5+0.4+8.7+15+0.3+1.3+64.9+33.6+8.1+0.1+94.7+0.3+9.8+7.8+0.9+1.8+16.2+18.3+3.3+0.1+11.4+0.1+11.4+1.3+76.9+6.2+11.6+2.1+2.4+24+0.1+0.5+16.3+2.5+1.1+3.8+2.1+10.3</f>
        <v>495.10000000000014</v>
      </c>
      <c r="E55" s="107">
        <f>D55/D51*100</f>
        <v>3.217400345719449</v>
      </c>
      <c r="F55" s="107">
        <f t="shared" si="7"/>
        <v>81.7536327608983</v>
      </c>
      <c r="G55" s="107">
        <f t="shared" si="5"/>
        <v>40.58529387654727</v>
      </c>
      <c r="H55" s="105">
        <f t="shared" si="8"/>
        <v>110.49999999999989</v>
      </c>
      <c r="I55" s="105">
        <f t="shared" si="6"/>
        <v>724.8</v>
      </c>
      <c r="K55" s="156"/>
    </row>
    <row r="56" spans="1:11" s="92" customFormat="1" ht="18">
      <c r="A56" s="103" t="s">
        <v>14</v>
      </c>
      <c r="B56" s="128">
        <v>660</v>
      </c>
      <c r="C56" s="129">
        <v>1320</v>
      </c>
      <c r="D56" s="129">
        <f>110+110+110+110+110+110</f>
        <v>660</v>
      </c>
      <c r="E56" s="107">
        <f>D56/D51*100</f>
        <v>4.289000662845558</v>
      </c>
      <c r="F56" s="107">
        <f>D56/B56*100</f>
        <v>100</v>
      </c>
      <c r="G56" s="107">
        <f>D56/C56*100</f>
        <v>50</v>
      </c>
      <c r="H56" s="105">
        <f t="shared" si="8"/>
        <v>0</v>
      </c>
      <c r="I56" s="105">
        <f t="shared" si="6"/>
        <v>660</v>
      </c>
      <c r="K56" s="156"/>
    </row>
    <row r="57" spans="1:11" s="92" customFormat="1" ht="18.75" thickBot="1">
      <c r="A57" s="103" t="s">
        <v>28</v>
      </c>
      <c r="B57" s="129">
        <f>B51-B52-B55-B54-B53-B56</f>
        <v>5179.6</v>
      </c>
      <c r="C57" s="129">
        <f>C51-C52-C55-C54-C53-C56</f>
        <v>13514.6</v>
      </c>
      <c r="D57" s="129">
        <f>D51-D52-D55-D54-D53-D56</f>
        <v>4414.899999999994</v>
      </c>
      <c r="E57" s="107">
        <f>D57/D51*100</f>
        <v>28.690165191510346</v>
      </c>
      <c r="F57" s="107">
        <f t="shared" si="7"/>
        <v>85.23631168429982</v>
      </c>
      <c r="G57" s="107">
        <f t="shared" si="5"/>
        <v>32.667633522264765</v>
      </c>
      <c r="H57" s="105">
        <f>B57-D57</f>
        <v>764.7000000000062</v>
      </c>
      <c r="I57" s="105">
        <f>C57-D57</f>
        <v>9099.700000000006</v>
      </c>
      <c r="K57" s="156"/>
    </row>
    <row r="58" spans="1:11" s="30" customFormat="1" ht="19.5" hidden="1" thickBot="1">
      <c r="A58" s="73" t="s">
        <v>63</v>
      </c>
      <c r="B58" s="71"/>
      <c r="C58" s="71"/>
      <c r="D58" s="71"/>
      <c r="E58" s="1"/>
      <c r="F58" s="72" t="e">
        <f t="shared" si="7"/>
        <v>#DIV/0!</v>
      </c>
      <c r="G58" s="72" t="e">
        <f t="shared" si="5"/>
        <v>#DIV/0!</v>
      </c>
      <c r="H58" s="78">
        <f t="shared" si="8"/>
        <v>0</v>
      </c>
      <c r="I58" s="78">
        <f>C58-D58</f>
        <v>0</v>
      </c>
      <c r="J58" s="93"/>
      <c r="K58" s="156">
        <f>C58-B58</f>
        <v>0</v>
      </c>
    </row>
    <row r="59" spans="1:11" ht="18.75" thickBot="1">
      <c r="A59" s="18" t="s">
        <v>6</v>
      </c>
      <c r="B59" s="37">
        <f>3979.5+32.4</f>
        <v>4011.9</v>
      </c>
      <c r="C59" s="38">
        <f>9264.2+300+32.4</f>
        <v>9596.6</v>
      </c>
      <c r="D59" s="39">
        <f>87.7+79.1+87.8+43.2+40.5+47.6+13+155.9+18+2.1+84.2+29.6+0.7+0.5+5.7+85.8+109.2+19+38.3+85.7+1.2+4.7+89.8+79.1+0.4+114.1+2.5+187.7+22+17.7+67.3-3+41+50.9+0.1+2.6+120+203+53.7</f>
        <v>2088.4</v>
      </c>
      <c r="E59" s="3">
        <f>D59/D154*100</f>
        <v>0.2075941238656205</v>
      </c>
      <c r="F59" s="3">
        <f>D59/B59*100</f>
        <v>52.0551359704878</v>
      </c>
      <c r="G59" s="3">
        <f t="shared" si="5"/>
        <v>21.761873997040617</v>
      </c>
      <c r="H59" s="39">
        <f>B59-D59</f>
        <v>1923.5</v>
      </c>
      <c r="I59" s="39">
        <f t="shared" si="6"/>
        <v>7508.200000000001</v>
      </c>
      <c r="J59" s="92"/>
      <c r="K59" s="156"/>
    </row>
    <row r="60" spans="1:11" s="92" customFormat="1" ht="18">
      <c r="A60" s="103" t="s">
        <v>3</v>
      </c>
      <c r="B60" s="128">
        <v>1564.4</v>
      </c>
      <c r="C60" s="129">
        <v>3119.7</v>
      </c>
      <c r="D60" s="105">
        <f>77.7+79.1+76.9+40.5+47.3+155.9+45+29.2+85.8+95.3+38.3+30.7+89.8+79.1+80.7+178.9+50.9+35.4+119.2+73</f>
        <v>1508.7000000000003</v>
      </c>
      <c r="E60" s="107">
        <f>D60/D59*100</f>
        <v>72.24190768052098</v>
      </c>
      <c r="F60" s="107">
        <f t="shared" si="7"/>
        <v>96.439529532089</v>
      </c>
      <c r="G60" s="107">
        <f t="shared" si="5"/>
        <v>48.36041927108377</v>
      </c>
      <c r="H60" s="105">
        <f t="shared" si="8"/>
        <v>55.69999999999982</v>
      </c>
      <c r="I60" s="105">
        <f t="shared" si="6"/>
        <v>1610.9999999999995</v>
      </c>
      <c r="K60" s="156"/>
    </row>
    <row r="61" spans="1:11" s="92" customFormat="1" ht="18">
      <c r="A61" s="103" t="s">
        <v>1</v>
      </c>
      <c r="B61" s="128">
        <f>263.2+32.4</f>
        <v>295.59999999999997</v>
      </c>
      <c r="C61" s="129">
        <f>360.7+32.4</f>
        <v>393.09999999999997</v>
      </c>
      <c r="D61" s="105">
        <v>127</v>
      </c>
      <c r="E61" s="107">
        <f>D61/D59*100</f>
        <v>6.081210496073549</v>
      </c>
      <c r="F61" s="107">
        <f>D61/B61*100</f>
        <v>42.96346414073072</v>
      </c>
      <c r="G61" s="107">
        <f t="shared" si="5"/>
        <v>32.30730094123633</v>
      </c>
      <c r="H61" s="105">
        <f t="shared" si="8"/>
        <v>168.59999999999997</v>
      </c>
      <c r="I61" s="105">
        <f t="shared" si="6"/>
        <v>266.09999999999997</v>
      </c>
      <c r="K61" s="156"/>
    </row>
    <row r="62" spans="1:11" s="92" customFormat="1" ht="18">
      <c r="A62" s="103" t="s">
        <v>0</v>
      </c>
      <c r="B62" s="128">
        <v>239.7</v>
      </c>
      <c r="C62" s="129">
        <v>393.7</v>
      </c>
      <c r="D62" s="105">
        <f>10.9+43.2+13-3+39.2+5.7+50.2+3.5+0.2+29.7+2.5+1.8+22+0.1+0.7+2.1+0.1</f>
        <v>221.89999999999995</v>
      </c>
      <c r="E62" s="107">
        <f>D62/D59*100</f>
        <v>10.625359126604096</v>
      </c>
      <c r="F62" s="107">
        <f t="shared" si="7"/>
        <v>92.5740508969545</v>
      </c>
      <c r="G62" s="107">
        <f t="shared" si="5"/>
        <v>56.36271272542543</v>
      </c>
      <c r="H62" s="105">
        <f t="shared" si="8"/>
        <v>17.80000000000004</v>
      </c>
      <c r="I62" s="105">
        <f t="shared" si="6"/>
        <v>171.80000000000004</v>
      </c>
      <c r="K62" s="156"/>
    </row>
    <row r="63" spans="1:11" s="92" customFormat="1" ht="18">
      <c r="A63" s="103" t="s">
        <v>14</v>
      </c>
      <c r="B63" s="128">
        <v>1633.1</v>
      </c>
      <c r="C63" s="129">
        <v>4866.6</v>
      </c>
      <c r="D63" s="105">
        <v>0</v>
      </c>
      <c r="E63" s="107">
        <f>D63/D59*100</f>
        <v>0</v>
      </c>
      <c r="F63" s="107">
        <f t="shared" si="7"/>
        <v>0</v>
      </c>
      <c r="G63" s="107">
        <f t="shared" si="5"/>
        <v>0</v>
      </c>
      <c r="H63" s="105">
        <f t="shared" si="8"/>
        <v>1633.1</v>
      </c>
      <c r="I63" s="105">
        <f t="shared" si="6"/>
        <v>4866.6</v>
      </c>
      <c r="K63" s="156"/>
    </row>
    <row r="64" spans="1:11" s="92" customFormat="1" ht="18.75" thickBot="1">
      <c r="A64" s="103" t="s">
        <v>28</v>
      </c>
      <c r="B64" s="129">
        <f>B59-B60-B62-B63-B61</f>
        <v>279.1000000000003</v>
      </c>
      <c r="C64" s="129">
        <f>C59-C60-C62-C63-C61</f>
        <v>823.5000000000005</v>
      </c>
      <c r="D64" s="129">
        <f>D59-D60-D62-D63-D61</f>
        <v>230.79999999999984</v>
      </c>
      <c r="E64" s="107">
        <f>D64/D59*100</f>
        <v>11.05152269680137</v>
      </c>
      <c r="F64" s="107">
        <f t="shared" si="7"/>
        <v>82.69437477606579</v>
      </c>
      <c r="G64" s="107">
        <f t="shared" si="5"/>
        <v>28.026715239829958</v>
      </c>
      <c r="H64" s="105">
        <f t="shared" si="8"/>
        <v>48.300000000000466</v>
      </c>
      <c r="I64" s="105">
        <f t="shared" si="6"/>
        <v>592.7000000000006</v>
      </c>
      <c r="K64" s="156"/>
    </row>
    <row r="65" spans="1:11" s="30" customFormat="1" ht="19.5" hidden="1" thickBot="1">
      <c r="A65" s="73" t="s">
        <v>74</v>
      </c>
      <c r="B65" s="71"/>
      <c r="C65" s="71"/>
      <c r="D65" s="71"/>
      <c r="E65" s="72"/>
      <c r="F65" s="72" t="e">
        <f>D65/B65*100</f>
        <v>#DIV/0!</v>
      </c>
      <c r="G65" s="72" t="e">
        <f>D65/C65*100</f>
        <v>#DIV/0!</v>
      </c>
      <c r="H65" s="78">
        <f t="shared" si="8"/>
        <v>0</v>
      </c>
      <c r="I65" s="78">
        <f t="shared" si="6"/>
        <v>0</v>
      </c>
      <c r="J65" s="93"/>
      <c r="K65" s="156">
        <f>C65-B65</f>
        <v>0</v>
      </c>
    </row>
    <row r="66" spans="1:11" s="30" customFormat="1" ht="19.5" hidden="1" thickBot="1">
      <c r="A66" s="73" t="s">
        <v>60</v>
      </c>
      <c r="B66" s="71"/>
      <c r="C66" s="71"/>
      <c r="D66" s="71"/>
      <c r="E66" s="72"/>
      <c r="F66" s="72" t="e">
        <f t="shared" si="7"/>
        <v>#DIV/0!</v>
      </c>
      <c r="G66" s="72" t="e">
        <f t="shared" si="5"/>
        <v>#DIV/0!</v>
      </c>
      <c r="H66" s="78">
        <f t="shared" si="8"/>
        <v>0</v>
      </c>
      <c r="I66" s="78">
        <f t="shared" si="6"/>
        <v>0</v>
      </c>
      <c r="J66" s="93"/>
      <c r="K66" s="156">
        <f>C66-B66</f>
        <v>0</v>
      </c>
    </row>
    <row r="67" spans="1:11" s="30" customFormat="1" ht="19.5" hidden="1" thickBot="1">
      <c r="A67" s="73" t="s">
        <v>61</v>
      </c>
      <c r="B67" s="71"/>
      <c r="C67" s="71"/>
      <c r="D67" s="71"/>
      <c r="E67" s="72"/>
      <c r="F67" s="72" t="e">
        <f t="shared" si="7"/>
        <v>#DIV/0!</v>
      </c>
      <c r="G67" s="72" t="e">
        <f t="shared" si="5"/>
        <v>#DIV/0!</v>
      </c>
      <c r="H67" s="78">
        <f t="shared" si="8"/>
        <v>0</v>
      </c>
      <c r="I67" s="78">
        <f t="shared" si="6"/>
        <v>0</v>
      </c>
      <c r="J67" s="93"/>
      <c r="K67" s="156">
        <f>C67-B67</f>
        <v>0</v>
      </c>
    </row>
    <row r="68" spans="1:11" s="30" customFormat="1" ht="19.5" hidden="1" thickBot="1">
      <c r="A68" s="73" t="s">
        <v>62</v>
      </c>
      <c r="B68" s="71"/>
      <c r="C68" s="71"/>
      <c r="D68" s="71"/>
      <c r="E68" s="72"/>
      <c r="F68" s="72" t="e">
        <f t="shared" si="7"/>
        <v>#DIV/0!</v>
      </c>
      <c r="G68" s="72" t="e">
        <f t="shared" si="5"/>
        <v>#DIV/0!</v>
      </c>
      <c r="H68" s="78">
        <f t="shared" si="8"/>
        <v>0</v>
      </c>
      <c r="I68" s="78">
        <f t="shared" si="6"/>
        <v>0</v>
      </c>
      <c r="J68" s="93"/>
      <c r="K68" s="156">
        <f>C68-B68</f>
        <v>0</v>
      </c>
    </row>
    <row r="69" spans="1:11" ht="18.75" thickBot="1">
      <c r="A69" s="18" t="s">
        <v>20</v>
      </c>
      <c r="B69" s="38">
        <f>B70+B71</f>
        <v>295.20000000000005</v>
      </c>
      <c r="C69" s="38">
        <f>C70+C71</f>
        <v>438.8</v>
      </c>
      <c r="D69" s="39">
        <f>D70+D71</f>
        <v>227</v>
      </c>
      <c r="E69" s="28">
        <f>D69/D154*100</f>
        <v>0.022564578681045708</v>
      </c>
      <c r="F69" s="3">
        <f>D69/B69*100</f>
        <v>76.89701897018969</v>
      </c>
      <c r="G69" s="3">
        <f t="shared" si="5"/>
        <v>51.73199635369189</v>
      </c>
      <c r="H69" s="39">
        <f>B69-D69</f>
        <v>68.20000000000005</v>
      </c>
      <c r="I69" s="39">
        <f t="shared" si="6"/>
        <v>211.8</v>
      </c>
      <c r="J69" s="92"/>
      <c r="K69" s="156"/>
    </row>
    <row r="70" spans="1:11" s="92" customFormat="1" ht="18">
      <c r="A70" s="103" t="s">
        <v>8</v>
      </c>
      <c r="B70" s="128">
        <f>256.1+36-12-53.1</f>
        <v>227.00000000000003</v>
      </c>
      <c r="C70" s="129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K70" s="156"/>
    </row>
    <row r="71" spans="1:11" s="92" customFormat="1" ht="18.75" thickBot="1">
      <c r="A71" s="103" t="s">
        <v>9</v>
      </c>
      <c r="B71" s="128">
        <f>106.1-37.9</f>
        <v>68.19999999999999</v>
      </c>
      <c r="C71" s="129">
        <f>293.1-30-14-37.9</f>
        <v>211.20000000000002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68.19999999999999</v>
      </c>
      <c r="I71" s="105">
        <f t="shared" si="6"/>
        <v>211.20000000000002</v>
      </c>
      <c r="K71" s="156"/>
    </row>
    <row r="72" spans="1:11" ht="38.25" hidden="1" thickBot="1">
      <c r="A72" s="10" t="s">
        <v>39</v>
      </c>
      <c r="B72" s="44"/>
      <c r="C72" s="38">
        <f>C73+C74+C75+C76</f>
        <v>0</v>
      </c>
      <c r="D72" s="38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9">
        <f>B72-D72</f>
        <v>0</v>
      </c>
      <c r="I72" s="39">
        <f t="shared" si="6"/>
        <v>0</v>
      </c>
      <c r="J72" s="92"/>
      <c r="K72" s="156"/>
    </row>
    <row r="73" spans="1:11" ht="19.5" hidden="1" thickBot="1">
      <c r="A73" s="14" t="s">
        <v>43</v>
      </c>
      <c r="B73" s="42"/>
      <c r="C73" s="48"/>
      <c r="D73" s="40"/>
      <c r="E73" s="25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6">
        <f t="shared" si="8"/>
        <v>0</v>
      </c>
      <c r="I73" s="36">
        <f t="shared" si="6"/>
        <v>0</v>
      </c>
      <c r="J73" s="92"/>
      <c r="K73" s="156"/>
    </row>
    <row r="74" spans="1:11" ht="19.5" hidden="1" thickBot="1">
      <c r="A74" s="14" t="s">
        <v>44</v>
      </c>
      <c r="B74" s="42"/>
      <c r="C74" s="48"/>
      <c r="D74" s="40"/>
      <c r="E74" s="25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6">
        <f t="shared" si="8"/>
        <v>0</v>
      </c>
      <c r="I74" s="36">
        <f t="shared" si="6"/>
        <v>0</v>
      </c>
      <c r="J74" s="92"/>
      <c r="K74" s="156"/>
    </row>
    <row r="75" spans="1:11" ht="19.5" hidden="1" thickBot="1">
      <c r="A75" s="20" t="s">
        <v>32</v>
      </c>
      <c r="B75" s="49"/>
      <c r="C75" s="50"/>
      <c r="D75" s="51"/>
      <c r="E75" s="25" t="e">
        <f>D75/D72*100</f>
        <v>#DIV/0!</v>
      </c>
      <c r="F75" s="25"/>
      <c r="G75" s="1" t="e">
        <f t="shared" si="5"/>
        <v>#DIV/0!</v>
      </c>
      <c r="H75" s="36"/>
      <c r="I75" s="36">
        <f t="shared" si="6"/>
        <v>0</v>
      </c>
      <c r="J75" s="92"/>
      <c r="K75" s="156"/>
    </row>
    <row r="76" spans="1:11" ht="19.5" hidden="1" thickBot="1">
      <c r="A76" s="20" t="s">
        <v>40</v>
      </c>
      <c r="B76" s="49"/>
      <c r="C76" s="50"/>
      <c r="D76" s="51"/>
      <c r="E76" s="25" t="e">
        <f>D76/D72*100</f>
        <v>#DIV/0!</v>
      </c>
      <c r="F76" s="25"/>
      <c r="G76" s="1" t="e">
        <f t="shared" si="5"/>
        <v>#DIV/0!</v>
      </c>
      <c r="H76" s="36"/>
      <c r="I76" s="36">
        <f t="shared" si="6"/>
        <v>0</v>
      </c>
      <c r="J76" s="92"/>
      <c r="K76" s="156"/>
    </row>
    <row r="77" spans="1:11" s="30" customFormat="1" ht="19.5" thickBot="1">
      <c r="A77" s="21" t="s">
        <v>13</v>
      </c>
      <c r="B77" s="45">
        <v>0</v>
      </c>
      <c r="C77" s="52">
        <f>17000-13500-1000</f>
        <v>2500</v>
      </c>
      <c r="D77" s="53"/>
      <c r="E77" s="33"/>
      <c r="F77" s="33"/>
      <c r="G77" s="33"/>
      <c r="H77" s="53">
        <f>B77-D77</f>
        <v>0</v>
      </c>
      <c r="I77" s="53">
        <f t="shared" si="6"/>
        <v>2500</v>
      </c>
      <c r="J77" s="93"/>
      <c r="K77" s="156"/>
    </row>
    <row r="78" spans="1:11" ht="8.25" customHeight="1" thickBot="1">
      <c r="A78" s="14"/>
      <c r="B78" s="42"/>
      <c r="C78" s="50"/>
      <c r="D78" s="51"/>
      <c r="E78" s="4"/>
      <c r="F78" s="4"/>
      <c r="G78" s="4"/>
      <c r="H78" s="51"/>
      <c r="I78" s="85"/>
      <c r="J78" s="92"/>
      <c r="K78" s="156"/>
    </row>
    <row r="79" spans="1:11" ht="18.75" customHeight="1" hidden="1" thickBot="1">
      <c r="A79" s="10" t="s">
        <v>54</v>
      </c>
      <c r="B79" s="44"/>
      <c r="C79" s="38"/>
      <c r="D79" s="38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9">
        <f>B79-D79</f>
        <v>0</v>
      </c>
      <c r="I79" s="39">
        <f aca="true" t="shared" si="10" ref="I79:I93">C79-D79</f>
        <v>0</v>
      </c>
      <c r="J79" s="92"/>
      <c r="K79" s="156"/>
    </row>
    <row r="80" spans="1:11" s="6" customFormat="1" ht="18.75" hidden="1" thickBot="1">
      <c r="A80" s="7" t="s">
        <v>53</v>
      </c>
      <c r="B80" s="54"/>
      <c r="C80" s="35"/>
      <c r="D80" s="36"/>
      <c r="E80" s="70"/>
      <c r="F80" s="1" t="e">
        <f>D80/B80*100</f>
        <v>#DIV/0!</v>
      </c>
      <c r="G80" s="1" t="e">
        <f t="shared" si="9"/>
        <v>#DIV/0!</v>
      </c>
      <c r="H80" s="36">
        <f>B80-D80</f>
        <v>0</v>
      </c>
      <c r="I80" s="36">
        <f t="shared" si="10"/>
        <v>0</v>
      </c>
      <c r="J80" s="160"/>
      <c r="K80" s="156"/>
    </row>
    <row r="81" spans="1:11" s="6" customFormat="1" ht="31.5" hidden="1" thickBot="1">
      <c r="A81" s="7" t="s">
        <v>51</v>
      </c>
      <c r="B81" s="54"/>
      <c r="C81" s="35"/>
      <c r="D81" s="36"/>
      <c r="E81" s="70"/>
      <c r="F81" s="1" t="e">
        <f>D81/B81*100</f>
        <v>#DIV/0!</v>
      </c>
      <c r="G81" s="1" t="e">
        <f t="shared" si="9"/>
        <v>#DIV/0!</v>
      </c>
      <c r="H81" s="36">
        <f>B81-D81</f>
        <v>0</v>
      </c>
      <c r="I81" s="36">
        <f t="shared" si="10"/>
        <v>0</v>
      </c>
      <c r="J81" s="160"/>
      <c r="K81" s="156"/>
    </row>
    <row r="82" spans="1:11" s="6" customFormat="1" ht="16.5" customHeight="1" hidden="1">
      <c r="A82" s="7" t="s">
        <v>31</v>
      </c>
      <c r="B82" s="54"/>
      <c r="C82" s="35"/>
      <c r="D82" s="36"/>
      <c r="E82" s="1" t="e">
        <f>D82/D79*100</f>
        <v>#DIV/0!</v>
      </c>
      <c r="F82" s="1"/>
      <c r="G82" s="1" t="e">
        <f t="shared" si="9"/>
        <v>#DIV/0!</v>
      </c>
      <c r="H82" s="36"/>
      <c r="I82" s="36">
        <f t="shared" si="10"/>
        <v>0</v>
      </c>
      <c r="J82" s="160"/>
      <c r="K82" s="156"/>
    </row>
    <row r="83" spans="1:11" s="6" customFormat="1" ht="33" customHeight="1" hidden="1" thickBot="1">
      <c r="A83" s="7" t="s">
        <v>37</v>
      </c>
      <c r="B83" s="54"/>
      <c r="C83" s="35"/>
      <c r="D83" s="35"/>
      <c r="E83" s="1" t="e">
        <f>D83/D79*100</f>
        <v>#DIV/0!</v>
      </c>
      <c r="F83" s="1"/>
      <c r="G83" s="1" t="e">
        <f t="shared" si="9"/>
        <v>#DIV/0!</v>
      </c>
      <c r="H83" s="36"/>
      <c r="I83" s="36">
        <f t="shared" si="10"/>
        <v>0</v>
      </c>
      <c r="J83" s="160"/>
      <c r="K83" s="156"/>
    </row>
    <row r="84" spans="1:11" ht="35.25" customHeight="1" hidden="1" thickBot="1">
      <c r="A84" s="10" t="s">
        <v>33</v>
      </c>
      <c r="B84" s="44"/>
      <c r="C84" s="38"/>
      <c r="D84" s="38"/>
      <c r="E84" s="3">
        <f>D84/D154*100</f>
        <v>0</v>
      </c>
      <c r="F84" s="3"/>
      <c r="G84" s="3" t="e">
        <f t="shared" si="9"/>
        <v>#DIV/0!</v>
      </c>
      <c r="H84" s="39"/>
      <c r="I84" s="39">
        <f t="shared" si="10"/>
        <v>0</v>
      </c>
      <c r="J84" s="92"/>
      <c r="K84" s="156"/>
    </row>
    <row r="85" spans="1:11" ht="16.5" customHeight="1" hidden="1">
      <c r="A85" s="19" t="s">
        <v>24</v>
      </c>
      <c r="B85" s="34"/>
      <c r="C85" s="50"/>
      <c r="D85" s="50"/>
      <c r="E85" s="4" t="e">
        <f>D85/D84*100</f>
        <v>#DIV/0!</v>
      </c>
      <c r="F85" s="4"/>
      <c r="G85" s="4" t="e">
        <f t="shared" si="9"/>
        <v>#DIV/0!</v>
      </c>
      <c r="H85" s="51"/>
      <c r="I85" s="36">
        <f t="shared" si="10"/>
        <v>0</v>
      </c>
      <c r="J85" s="92"/>
      <c r="K85" s="156"/>
    </row>
    <row r="86" spans="1:11" ht="16.5" customHeight="1" hidden="1" thickBot="1">
      <c r="A86" s="19" t="s">
        <v>25</v>
      </c>
      <c r="B86" s="34"/>
      <c r="C86" s="50"/>
      <c r="D86" s="50"/>
      <c r="E86" s="4" t="e">
        <f>D86/D84*100</f>
        <v>#DIV/0!</v>
      </c>
      <c r="F86" s="4"/>
      <c r="G86" s="4" t="e">
        <f t="shared" si="9"/>
        <v>#DIV/0!</v>
      </c>
      <c r="H86" s="51"/>
      <c r="I86" s="36">
        <f t="shared" si="10"/>
        <v>0</v>
      </c>
      <c r="J86" s="92"/>
      <c r="K86" s="156"/>
    </row>
    <row r="87" spans="1:11" ht="34.5" customHeight="1" hidden="1" thickBot="1">
      <c r="A87" s="10" t="s">
        <v>34</v>
      </c>
      <c r="B87" s="44"/>
      <c r="C87" s="38"/>
      <c r="D87" s="38"/>
      <c r="E87" s="3">
        <f>D87/D154*100</f>
        <v>0</v>
      </c>
      <c r="F87" s="3"/>
      <c r="G87" s="3" t="e">
        <f t="shared" si="9"/>
        <v>#DIV/0!</v>
      </c>
      <c r="H87" s="39"/>
      <c r="I87" s="39">
        <f t="shared" si="10"/>
        <v>0</v>
      </c>
      <c r="J87" s="92"/>
      <c r="K87" s="156"/>
    </row>
    <row r="88" spans="1:11" ht="17.25" customHeight="1" hidden="1">
      <c r="A88" s="19" t="s">
        <v>24</v>
      </c>
      <c r="B88" s="34"/>
      <c r="C88" s="35"/>
      <c r="D88" s="36"/>
      <c r="E88" s="1" t="e">
        <f>D88/D87*100</f>
        <v>#DIV/0!</v>
      </c>
      <c r="F88" s="1"/>
      <c r="G88" s="1" t="e">
        <f t="shared" si="9"/>
        <v>#DIV/0!</v>
      </c>
      <c r="H88" s="36"/>
      <c r="I88" s="36">
        <f t="shared" si="10"/>
        <v>0</v>
      </c>
      <c r="J88" s="92"/>
      <c r="K88" s="156"/>
    </row>
    <row r="89" spans="1:11" ht="17.25" customHeight="1" hidden="1" thickBot="1">
      <c r="A89" s="19" t="s">
        <v>25</v>
      </c>
      <c r="B89" s="34"/>
      <c r="C89" s="35"/>
      <c r="D89" s="36"/>
      <c r="E89" s="1" t="e">
        <f>D89/D87*100</f>
        <v>#DIV/0!</v>
      </c>
      <c r="F89" s="1"/>
      <c r="G89" s="1" t="e">
        <f t="shared" si="9"/>
        <v>#DIV/0!</v>
      </c>
      <c r="H89" s="36"/>
      <c r="I89" s="36">
        <f t="shared" si="10"/>
        <v>0</v>
      </c>
      <c r="J89" s="92"/>
      <c r="K89" s="156"/>
    </row>
    <row r="90" spans="1:11" ht="19.5" thickBot="1">
      <c r="A90" s="10" t="s">
        <v>10</v>
      </c>
      <c r="B90" s="44">
        <f>109554.8+50+40</f>
        <v>109644.8</v>
      </c>
      <c r="C90" s="38">
        <f>200580.6+2044.4+100+113.7</f>
        <v>202838.7</v>
      </c>
      <c r="D90" s="39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</f>
        <v>104694.69999999997</v>
      </c>
      <c r="E90" s="3">
        <f>D90/D154*100</f>
        <v>10.407012315587997</v>
      </c>
      <c r="F90" s="3">
        <f aca="true" t="shared" si="11" ref="F90:F96">D90/B90*100</f>
        <v>95.48533081368197</v>
      </c>
      <c r="G90" s="3">
        <f t="shared" si="9"/>
        <v>51.61475596126378</v>
      </c>
      <c r="H90" s="39">
        <f aca="true" t="shared" si="12" ref="H90:H96">B90-D90</f>
        <v>4950.100000000035</v>
      </c>
      <c r="I90" s="39">
        <f t="shared" si="10"/>
        <v>98144.00000000004</v>
      </c>
      <c r="J90" s="92"/>
      <c r="K90" s="156"/>
    </row>
    <row r="91" spans="1:11" s="92" customFormat="1" ht="18">
      <c r="A91" s="103" t="s">
        <v>3</v>
      </c>
      <c r="B91" s="128">
        <f>102192.2+45.2+122+9.4</f>
        <v>102368.79999999999</v>
      </c>
      <c r="C91" s="129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</f>
        <v>100089.60999999997</v>
      </c>
      <c r="E91" s="107">
        <f>D91/D90*100</f>
        <v>95.60141057761281</v>
      </c>
      <c r="F91" s="107">
        <f t="shared" si="11"/>
        <v>97.77355014418454</v>
      </c>
      <c r="G91" s="107">
        <f t="shared" si="9"/>
        <v>52.69169316879463</v>
      </c>
      <c r="H91" s="105">
        <f t="shared" si="12"/>
        <v>2279.190000000017</v>
      </c>
      <c r="I91" s="105">
        <f t="shared" si="10"/>
        <v>89863.69000000002</v>
      </c>
      <c r="K91" s="156"/>
    </row>
    <row r="92" spans="1:11" s="92" customFormat="1" ht="18">
      <c r="A92" s="103" t="s">
        <v>26</v>
      </c>
      <c r="B92" s="128">
        <v>1536.1</v>
      </c>
      <c r="C92" s="129">
        <v>2776.4</v>
      </c>
      <c r="D92" s="105">
        <f>57.2+3.4+167+1.4+0.3+83.4+86.9+53.1+5.3+4.7+17+71.3+284.2+22.2+4.8+1.6+54.8+7+38.2+1.9+190+51.9+21+0.9+36.8+0.1</f>
        <v>1266.4</v>
      </c>
      <c r="E92" s="107">
        <f>D92/D90*100</f>
        <v>1.2096123299460244</v>
      </c>
      <c r="F92" s="107">
        <f t="shared" si="11"/>
        <v>82.44254931319577</v>
      </c>
      <c r="G92" s="107">
        <f t="shared" si="9"/>
        <v>45.61302405993373</v>
      </c>
      <c r="H92" s="105">
        <f t="shared" si="12"/>
        <v>269.6999999999998</v>
      </c>
      <c r="I92" s="105">
        <f t="shared" si="10"/>
        <v>1510</v>
      </c>
      <c r="K92" s="156"/>
    </row>
    <row r="93" spans="1:11" s="92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2" customFormat="1" ht="18.75" thickBot="1">
      <c r="A94" s="103" t="s">
        <v>28</v>
      </c>
      <c r="B94" s="129">
        <f>B90-B91-B92-B93</f>
        <v>5739.900000000014</v>
      </c>
      <c r="C94" s="129">
        <f>C90-C91-C92-C93</f>
        <v>10109.000000000024</v>
      </c>
      <c r="D94" s="129">
        <f>D90-D91-D92-D93</f>
        <v>3338.6899999999964</v>
      </c>
      <c r="E94" s="107">
        <f>D94/D90*100</f>
        <v>3.1889770924411622</v>
      </c>
      <c r="F94" s="107">
        <f t="shared" si="11"/>
        <v>58.166344361399815</v>
      </c>
      <c r="G94" s="107">
        <f>D94/C94*100</f>
        <v>33.02690671678691</v>
      </c>
      <c r="H94" s="105">
        <f t="shared" si="12"/>
        <v>2401.2100000000178</v>
      </c>
      <c r="I94" s="105">
        <f>C94-D94</f>
        <v>6770.310000000027</v>
      </c>
      <c r="K94" s="156"/>
    </row>
    <row r="95" spans="1:11" ht="18.75">
      <c r="A95" s="81" t="s">
        <v>12</v>
      </c>
      <c r="B95" s="90">
        <f>23556.9-312.7-1000-40+6</f>
        <v>22210.2</v>
      </c>
      <c r="C95" s="84">
        <f>46414.5+100+39.4+1153.5-64.6-244.3</f>
        <v>47398.5</v>
      </c>
      <c r="D95" s="83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</f>
        <v>18809.700000000004</v>
      </c>
      <c r="E95" s="80">
        <f>D95/D154*100</f>
        <v>1.869748703157998</v>
      </c>
      <c r="F95" s="82">
        <f t="shared" si="11"/>
        <v>84.68946700164791</v>
      </c>
      <c r="G95" s="79">
        <f>D95/C95*100</f>
        <v>39.68416722048167</v>
      </c>
      <c r="H95" s="83">
        <f t="shared" si="12"/>
        <v>3400.4999999999964</v>
      </c>
      <c r="I95" s="86">
        <f>C95-D95</f>
        <v>28588.799999999996</v>
      </c>
      <c r="J95" s="92"/>
      <c r="K95" s="156"/>
    </row>
    <row r="96" spans="1:11" s="92" customFormat="1" ht="18.75" thickBot="1">
      <c r="A96" s="131" t="s">
        <v>81</v>
      </c>
      <c r="B96" s="132">
        <f>6483.7+6</f>
        <v>6489.7</v>
      </c>
      <c r="C96" s="133">
        <v>12814.2</v>
      </c>
      <c r="D96" s="134">
        <f>194.6+1234+3.4+0.5+79.6+1026.4+0.7+86.4+939.3+4.2+87.7+624.7+8+489.4+90.3+1.9+597.9+5.5+67.2+2.1+31.9+0.2+90.5</f>
        <v>5666.399999999998</v>
      </c>
      <c r="E96" s="135">
        <f>D96/D95*100</f>
        <v>30.124882374519512</v>
      </c>
      <c r="F96" s="136">
        <f t="shared" si="11"/>
        <v>87.31374331633201</v>
      </c>
      <c r="G96" s="137">
        <f>D96/C96*100</f>
        <v>44.21969377721588</v>
      </c>
      <c r="H96" s="138">
        <f t="shared" si="12"/>
        <v>823.300000000002</v>
      </c>
      <c r="I96" s="127">
        <f>C96-D96</f>
        <v>7147.800000000003</v>
      </c>
      <c r="K96" s="156"/>
    </row>
    <row r="97" spans="1:11" ht="8.25" customHeight="1" thickBot="1">
      <c r="A97" s="14"/>
      <c r="B97" s="42"/>
      <c r="C97" s="50"/>
      <c r="D97" s="51"/>
      <c r="E97" s="4"/>
      <c r="F97" s="4"/>
      <c r="G97" s="4"/>
      <c r="H97" s="51"/>
      <c r="I97" s="51"/>
      <c r="J97" s="92"/>
      <c r="K97" s="156"/>
    </row>
    <row r="98" spans="1:11" ht="19.5" hidden="1" thickBot="1">
      <c r="A98" s="23" t="s">
        <v>35</v>
      </c>
      <c r="B98" s="58"/>
      <c r="C98" s="59"/>
      <c r="D98" s="60"/>
      <c r="E98" s="3">
        <f>D98/D154*100</f>
        <v>0</v>
      </c>
      <c r="F98" s="3"/>
      <c r="G98" s="3" t="e">
        <f>D98/C98*100</f>
        <v>#DIV/0!</v>
      </c>
      <c r="H98" s="39"/>
      <c r="I98" s="39">
        <f>C98-D98</f>
        <v>0</v>
      </c>
      <c r="J98" s="92"/>
      <c r="K98" s="156">
        <f t="shared" si="13"/>
        <v>0</v>
      </c>
    </row>
    <row r="99" spans="1:11" ht="5.25" customHeight="1" hidden="1" thickBot="1">
      <c r="A99" s="22"/>
      <c r="B99" s="55"/>
      <c r="C99" s="56"/>
      <c r="D99" s="57"/>
      <c r="E99" s="11"/>
      <c r="F99" s="4"/>
      <c r="G99" s="4"/>
      <c r="H99" s="51"/>
      <c r="I99" s="85"/>
      <c r="J99" s="92"/>
      <c r="K99" s="156">
        <f t="shared" si="13"/>
        <v>0</v>
      </c>
    </row>
    <row r="100" spans="1:11" s="12" customFormat="1" ht="36" customHeight="1" hidden="1" thickBot="1">
      <c r="A100" s="10" t="s">
        <v>49</v>
      </c>
      <c r="B100" s="44"/>
      <c r="C100" s="38"/>
      <c r="D100" s="39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9">
        <f>B100-D100</f>
        <v>0</v>
      </c>
      <c r="I100" s="39">
        <f>C100-D100</f>
        <v>0</v>
      </c>
      <c r="J100" s="161"/>
      <c r="K100" s="156">
        <f t="shared" si="13"/>
        <v>0</v>
      </c>
    </row>
    <row r="101" spans="1:11" ht="6.75" customHeight="1" hidden="1" thickBot="1">
      <c r="A101" s="76"/>
      <c r="B101" s="77"/>
      <c r="C101" s="56"/>
      <c r="D101" s="57"/>
      <c r="E101" s="11"/>
      <c r="F101" s="4"/>
      <c r="G101" s="4"/>
      <c r="H101" s="51"/>
      <c r="I101" s="85"/>
      <c r="J101" s="92"/>
      <c r="K101" s="156">
        <f t="shared" si="13"/>
        <v>0</v>
      </c>
    </row>
    <row r="102" spans="1:11" s="30" customFormat="1" ht="19.5" thickBot="1">
      <c r="A102" s="10" t="s">
        <v>11</v>
      </c>
      <c r="B102" s="89">
        <f>8246.9-50+30.9</f>
        <v>8227.8</v>
      </c>
      <c r="C102" s="69">
        <f>11266.5-91.2+1707.2+14.9</f>
        <v>12897.4</v>
      </c>
      <c r="D102" s="64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</f>
        <v>6923.799999999999</v>
      </c>
      <c r="E102" s="15">
        <f>D102/D154*100</f>
        <v>0.6882494708009879</v>
      </c>
      <c r="F102" s="15">
        <f>D102/B102*100</f>
        <v>84.15129196139915</v>
      </c>
      <c r="G102" s="15">
        <f aca="true" t="shared" si="14" ref="G102:G152">D102/C102*100</f>
        <v>53.683688185215615</v>
      </c>
      <c r="H102" s="64">
        <f aca="true" t="shared" si="15" ref="H102:H152">B102-D102</f>
        <v>1304</v>
      </c>
      <c r="I102" s="64">
        <f aca="true" t="shared" si="16" ref="I102:I152">C102-D102</f>
        <v>5973.6</v>
      </c>
      <c r="J102" s="93"/>
      <c r="K102" s="156"/>
    </row>
    <row r="103" spans="1:11" s="92" customFormat="1" ht="18.75" customHeight="1">
      <c r="A103" s="103" t="s">
        <v>3</v>
      </c>
      <c r="B103" s="120">
        <v>145.5</v>
      </c>
      <c r="C103" s="121">
        <v>363.8</v>
      </c>
      <c r="D103" s="121">
        <f>31.2+4.8+33.9+5.2</f>
        <v>75.10000000000001</v>
      </c>
      <c r="E103" s="122">
        <f>D103/D102*100</f>
        <v>1.0846644905976488</v>
      </c>
      <c r="F103" s="107">
        <f>D103/B103*100</f>
        <v>51.6151202749141</v>
      </c>
      <c r="G103" s="122">
        <f>D103/C103*100</f>
        <v>20.64321055525014</v>
      </c>
      <c r="H103" s="121">
        <f t="shared" si="15"/>
        <v>70.39999999999999</v>
      </c>
      <c r="I103" s="121">
        <f t="shared" si="16"/>
        <v>288.7</v>
      </c>
      <c r="K103" s="156"/>
    </row>
    <row r="104" spans="1:11" s="92" customFormat="1" ht="18">
      <c r="A104" s="123" t="s">
        <v>46</v>
      </c>
      <c r="B104" s="104">
        <f>7134.4-50+30.9</f>
        <v>7115.299999999999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</f>
        <v>6371.6</v>
      </c>
      <c r="E104" s="107">
        <f>D104/D102*100</f>
        <v>92.0246107628759</v>
      </c>
      <c r="F104" s="107">
        <f aca="true" t="shared" si="17" ref="F104:F152">D104/B104*100</f>
        <v>89.54787570446786</v>
      </c>
      <c r="G104" s="107">
        <f t="shared" si="14"/>
        <v>60.365703458076744</v>
      </c>
      <c r="H104" s="105">
        <f t="shared" si="15"/>
        <v>743.6999999999989</v>
      </c>
      <c r="I104" s="105">
        <f t="shared" si="16"/>
        <v>4183.4</v>
      </c>
      <c r="K104" s="156"/>
    </row>
    <row r="105" spans="1:11" s="92" customFormat="1" ht="54.75" hidden="1" thickBot="1">
      <c r="A105" s="124" t="s">
        <v>77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K105" s="156"/>
    </row>
    <row r="106" spans="1:11" s="92" customFormat="1" ht="18.75" thickBot="1">
      <c r="A106" s="124" t="s">
        <v>28</v>
      </c>
      <c r="B106" s="125">
        <f>B102-B103-B104</f>
        <v>967</v>
      </c>
      <c r="C106" s="125">
        <f>C102-C103-C104</f>
        <v>1978.6000000000004</v>
      </c>
      <c r="D106" s="125">
        <f>D102-D103-D104</f>
        <v>477.09999999999854</v>
      </c>
      <c r="E106" s="126">
        <f>D106/D102*100</f>
        <v>6.890724746526454</v>
      </c>
      <c r="F106" s="126">
        <f t="shared" si="17"/>
        <v>49.33815925542901</v>
      </c>
      <c r="G106" s="126">
        <f t="shared" si="14"/>
        <v>24.11300919842305</v>
      </c>
      <c r="H106" s="127">
        <f t="shared" si="15"/>
        <v>489.90000000000146</v>
      </c>
      <c r="I106" s="127">
        <f t="shared" si="16"/>
        <v>1501.5000000000018</v>
      </c>
      <c r="K106" s="156"/>
    </row>
    <row r="107" spans="1:12" s="2" customFormat="1" ht="26.25" customHeight="1" thickBot="1">
      <c r="A107" s="65" t="s">
        <v>29</v>
      </c>
      <c r="B107" s="66">
        <f>SUM(B108:B151)-B115-B120+B152-B142-B143-B109-B112-B123-B124-B140-B133-B131-B138-B118</f>
        <v>237570.70000000004</v>
      </c>
      <c r="C107" s="66">
        <f>SUM(C108:C151)-C115-C120+C152-C142-C143-C109-C112-C123-C124-C140-C133-C131-C138-C118</f>
        <v>563472.5999999999</v>
      </c>
      <c r="D107" s="66">
        <f>SUM(D108:D151)-D115-D120+D152-D142-D143-D109-D112-D123-D124-D140-D133-D131-D138-D118</f>
        <v>188908.79999999996</v>
      </c>
      <c r="E107" s="67">
        <f>D107/D154*100</f>
        <v>18.778182736308047</v>
      </c>
      <c r="F107" s="67">
        <f>D107/B107*100</f>
        <v>79.51687644983153</v>
      </c>
      <c r="G107" s="67">
        <f t="shared" si="14"/>
        <v>33.52581829178562</v>
      </c>
      <c r="H107" s="66">
        <f t="shared" si="15"/>
        <v>48661.90000000008</v>
      </c>
      <c r="I107" s="66">
        <f t="shared" si="16"/>
        <v>374563.79999999993</v>
      </c>
      <c r="J107" s="115"/>
      <c r="K107" s="156"/>
      <c r="L107" s="95"/>
    </row>
    <row r="108" spans="1:12" s="92" customFormat="1" ht="37.5">
      <c r="A108" s="96" t="s">
        <v>50</v>
      </c>
      <c r="B108" s="97">
        <v>2257.5</v>
      </c>
      <c r="C108" s="98">
        <v>4459</v>
      </c>
      <c r="D108" s="99">
        <f>17.1+81.1+17.3+60.5+173.3+3.4+2+0.4+29.3+1.7+177.1+0.8+38.8+139.8+0.3+1.9+1.8+6.5+136+91.3+0.1+1.8+1.1+2.4+3.5+2+3.4+72.2+73.1+42.5+21.2+13.2+0.2+17.6-34.7+31.4+109.2+11.6+31.6+1.8+1.8</f>
        <v>1387.3999999999994</v>
      </c>
      <c r="E108" s="100">
        <f>D108/D107*100</f>
        <v>0.7344284649524002</v>
      </c>
      <c r="F108" s="100">
        <f t="shared" si="17"/>
        <v>61.45736434108524</v>
      </c>
      <c r="G108" s="100">
        <f t="shared" si="14"/>
        <v>31.114599686028242</v>
      </c>
      <c r="H108" s="101">
        <f t="shared" si="15"/>
        <v>870.1000000000006</v>
      </c>
      <c r="I108" s="101">
        <f t="shared" si="16"/>
        <v>3071.6000000000004</v>
      </c>
      <c r="K108" s="156"/>
      <c r="L108" s="102"/>
    </row>
    <row r="109" spans="1:12" s="92" customFormat="1" ht="18.75">
      <c r="A109" s="103" t="s">
        <v>26</v>
      </c>
      <c r="B109" s="104">
        <v>1000.3</v>
      </c>
      <c r="C109" s="105">
        <v>1995</v>
      </c>
      <c r="D109" s="106">
        <f>47.8+0.9+59.7+88.3+0.1+59.2+38.8+107.4+24+91.1+38+42.5+2+31.4</f>
        <v>631.2</v>
      </c>
      <c r="E109" s="107">
        <f>D109/D108*100</f>
        <v>45.49517082312241</v>
      </c>
      <c r="F109" s="107">
        <f t="shared" si="17"/>
        <v>63.10106967909628</v>
      </c>
      <c r="G109" s="107">
        <f t="shared" si="14"/>
        <v>31.639097744360907</v>
      </c>
      <c r="H109" s="105">
        <f t="shared" si="15"/>
        <v>369.0999999999999</v>
      </c>
      <c r="I109" s="105">
        <f t="shared" si="16"/>
        <v>1363.8</v>
      </c>
      <c r="K109" s="156"/>
      <c r="L109" s="102"/>
    </row>
    <row r="110" spans="1:12" s="92" customFormat="1" ht="34.5" customHeight="1" hidden="1">
      <c r="A110" s="108" t="s">
        <v>76</v>
      </c>
      <c r="B110" s="171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5"/>
        <v>0</v>
      </c>
      <c r="I110" s="101">
        <f t="shared" si="16"/>
        <v>0</v>
      </c>
      <c r="K110" s="156"/>
      <c r="L110" s="102"/>
    </row>
    <row r="111" spans="1:12" s="93" customFormat="1" ht="34.5" customHeight="1">
      <c r="A111" s="108" t="s">
        <v>91</v>
      </c>
      <c r="B111" s="109">
        <v>110.9</v>
      </c>
      <c r="C111" s="110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5"/>
        <v>110.9</v>
      </c>
      <c r="I111" s="101">
        <f t="shared" si="16"/>
        <v>200</v>
      </c>
      <c r="K111" s="156"/>
      <c r="L111" s="102"/>
    </row>
    <row r="112" spans="1:12" s="92" customFormat="1" ht="18.75" hidden="1">
      <c r="A112" s="103" t="s">
        <v>26</v>
      </c>
      <c r="B112" s="172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5"/>
        <v>0</v>
      </c>
      <c r="I112" s="105">
        <f t="shared" si="16"/>
        <v>0</v>
      </c>
      <c r="K112" s="156"/>
      <c r="L112" s="102"/>
    </row>
    <row r="113" spans="1:12" s="92" customFormat="1" ht="18.75">
      <c r="A113" s="108" t="s">
        <v>87</v>
      </c>
      <c r="B113" s="109">
        <v>46.7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5"/>
        <v>46.7</v>
      </c>
      <c r="I113" s="101">
        <f t="shared" si="16"/>
        <v>64.3</v>
      </c>
      <c r="K113" s="156"/>
      <c r="L113" s="102"/>
    </row>
    <row r="114" spans="1:12" s="92" customFormat="1" ht="37.5">
      <c r="A114" s="108" t="s">
        <v>36</v>
      </c>
      <c r="B114" s="109">
        <v>1699.7</v>
      </c>
      <c r="C114" s="101">
        <v>3311.5</v>
      </c>
      <c r="D114" s="99">
        <f>136.4+10+40+6.6+6.1+0.2+177.4+10+1.8+25.1+29.4+48.1+8.1+193.1+10+0.1+17.8+8.8+132.4+79.7+12.6+4.3+3.5+212.4+8.1+0.4+10.8+218.3</f>
        <v>1411.5</v>
      </c>
      <c r="E114" s="100">
        <f>D114/D107*100</f>
        <v>0.7471859436934649</v>
      </c>
      <c r="F114" s="100">
        <f t="shared" si="17"/>
        <v>83.04406659998823</v>
      </c>
      <c r="G114" s="100">
        <f t="shared" si="14"/>
        <v>42.624188434244296</v>
      </c>
      <c r="H114" s="101">
        <f t="shared" si="15"/>
        <v>288.20000000000005</v>
      </c>
      <c r="I114" s="101">
        <f t="shared" si="16"/>
        <v>1900</v>
      </c>
      <c r="K114" s="156"/>
      <c r="L114" s="102"/>
    </row>
    <row r="115" spans="1:12" s="92" customFormat="1" ht="18.75" hidden="1">
      <c r="A115" s="113" t="s">
        <v>41</v>
      </c>
      <c r="B115" s="172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5"/>
        <v>0</v>
      </c>
      <c r="I115" s="105">
        <f t="shared" si="16"/>
        <v>0</v>
      </c>
      <c r="K115" s="156"/>
      <c r="L115" s="102"/>
    </row>
    <row r="116" spans="1:12" s="93" customFormat="1" ht="18.75" customHeight="1" hidden="1">
      <c r="A116" s="108" t="s">
        <v>88</v>
      </c>
      <c r="B116" s="171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5"/>
        <v>0</v>
      </c>
      <c r="I116" s="110">
        <f t="shared" si="16"/>
        <v>0</v>
      </c>
      <c r="K116" s="156"/>
      <c r="L116" s="102"/>
    </row>
    <row r="117" spans="1:12" s="92" customFormat="1" ht="37.5">
      <c r="A117" s="108" t="s">
        <v>45</v>
      </c>
      <c r="B117" s="109">
        <v>159</v>
      </c>
      <c r="C117" s="101">
        <v>200</v>
      </c>
      <c r="D117" s="99">
        <f>15+40</f>
        <v>55</v>
      </c>
      <c r="E117" s="100">
        <f>D117/D107*100</f>
        <v>0.029114578039773697</v>
      </c>
      <c r="F117" s="100">
        <f>D117/B117*100</f>
        <v>34.59119496855346</v>
      </c>
      <c r="G117" s="100">
        <f t="shared" si="14"/>
        <v>27.500000000000004</v>
      </c>
      <c r="H117" s="101">
        <f t="shared" si="15"/>
        <v>104</v>
      </c>
      <c r="I117" s="101">
        <f t="shared" si="16"/>
        <v>145</v>
      </c>
      <c r="K117" s="156"/>
      <c r="L117" s="102"/>
    </row>
    <row r="118" spans="1:12" s="92" customFormat="1" ht="18.75">
      <c r="A118" s="113" t="s">
        <v>86</v>
      </c>
      <c r="B118" s="104">
        <v>40</v>
      </c>
      <c r="C118" s="105">
        <v>40</v>
      </c>
      <c r="D118" s="106">
        <v>40</v>
      </c>
      <c r="E118" s="107">
        <f>D118/D117*100</f>
        <v>72.72727272727273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6"/>
      <c r="L118" s="102"/>
    </row>
    <row r="119" spans="1:12" s="115" customFormat="1" ht="18.75">
      <c r="A119" s="108" t="s">
        <v>15</v>
      </c>
      <c r="B119" s="109">
        <v>268.5</v>
      </c>
      <c r="C119" s="110">
        <v>491.6</v>
      </c>
      <c r="D119" s="99">
        <f>45.4+9.9+47+6.4+0.4+0.4+45.4+0.4+2.9+45.4+4+6.8+0.4+45.4+0.1+5.8+0.8+0.4</f>
        <v>267.30000000000007</v>
      </c>
      <c r="E119" s="100">
        <f>D119/D107*100</f>
        <v>0.1414968492733002</v>
      </c>
      <c r="F119" s="100">
        <f t="shared" si="17"/>
        <v>99.55307262569835</v>
      </c>
      <c r="G119" s="100">
        <f t="shared" si="14"/>
        <v>54.373474369406026</v>
      </c>
      <c r="H119" s="101">
        <f t="shared" si="15"/>
        <v>1.1999999999999318</v>
      </c>
      <c r="I119" s="101">
        <f t="shared" si="16"/>
        <v>224.29999999999995</v>
      </c>
      <c r="K119" s="156"/>
      <c r="L119" s="102"/>
    </row>
    <row r="120" spans="1:12" s="116" customFormat="1" ht="18.75">
      <c r="A120" s="113" t="s">
        <v>41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84.9607182940516</v>
      </c>
      <c r="F120" s="107">
        <f t="shared" si="17"/>
        <v>100</v>
      </c>
      <c r="G120" s="107">
        <f t="shared" si="14"/>
        <v>55.55283757338552</v>
      </c>
      <c r="H120" s="105">
        <f t="shared" si="15"/>
        <v>0</v>
      </c>
      <c r="I120" s="105">
        <f t="shared" si="16"/>
        <v>181.70000000000002</v>
      </c>
      <c r="K120" s="156"/>
      <c r="L120" s="102"/>
    </row>
    <row r="121" spans="1:12" s="115" customFormat="1" ht="18.75">
      <c r="A121" s="108" t="s">
        <v>113</v>
      </c>
      <c r="B121" s="109">
        <v>125</v>
      </c>
      <c r="C121" s="110">
        <v>317</v>
      </c>
      <c r="D121" s="99">
        <v>3.6</v>
      </c>
      <c r="E121" s="100">
        <f>D121/D107*100</f>
        <v>0.0019056814716942783</v>
      </c>
      <c r="F121" s="100">
        <f t="shared" si="17"/>
        <v>2.88</v>
      </c>
      <c r="G121" s="100">
        <f t="shared" si="14"/>
        <v>1.135646687697161</v>
      </c>
      <c r="H121" s="101">
        <f t="shared" si="15"/>
        <v>121.4</v>
      </c>
      <c r="I121" s="101">
        <f t="shared" si="16"/>
        <v>313.4</v>
      </c>
      <c r="K121" s="156"/>
      <c r="L121" s="102"/>
    </row>
    <row r="122" spans="1:12" s="115" customFormat="1" ht="21.75" customHeight="1">
      <c r="A122" s="108" t="s">
        <v>92</v>
      </c>
      <c r="B122" s="109">
        <f>480-268.6</f>
        <v>211.39999999999998</v>
      </c>
      <c r="C122" s="110">
        <f>480+80</f>
        <v>560</v>
      </c>
      <c r="D122" s="111">
        <f>12</f>
        <v>12</v>
      </c>
      <c r="E122" s="114">
        <f>D122/D107*100</f>
        <v>0.006352271572314261</v>
      </c>
      <c r="F122" s="100">
        <f t="shared" si="17"/>
        <v>5.676442762535478</v>
      </c>
      <c r="G122" s="100">
        <f t="shared" si="14"/>
        <v>2.142857142857143</v>
      </c>
      <c r="H122" s="101">
        <f t="shared" si="15"/>
        <v>199.39999999999998</v>
      </c>
      <c r="I122" s="101">
        <f t="shared" si="16"/>
        <v>548</v>
      </c>
      <c r="K122" s="156"/>
      <c r="L122" s="102"/>
    </row>
    <row r="123" spans="1:12" s="118" customFormat="1" ht="18.75" hidden="1">
      <c r="A123" s="103" t="s">
        <v>78</v>
      </c>
      <c r="B123" s="172"/>
      <c r="C123" s="105"/>
      <c r="D123" s="106"/>
      <c r="E123" s="100"/>
      <c r="F123" s="117" t="e">
        <f>D123/B123*100</f>
        <v>#DIV/0!</v>
      </c>
      <c r="G123" s="107" t="e">
        <f t="shared" si="14"/>
        <v>#DIV/0!</v>
      </c>
      <c r="H123" s="105">
        <f t="shared" si="15"/>
        <v>0</v>
      </c>
      <c r="I123" s="105">
        <f t="shared" si="16"/>
        <v>0</v>
      </c>
      <c r="K123" s="156"/>
      <c r="L123" s="102"/>
    </row>
    <row r="124" spans="1:12" s="118" customFormat="1" ht="18.75" hidden="1">
      <c r="A124" s="103" t="s">
        <v>47</v>
      </c>
      <c r="B124" s="172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5"/>
        <v>0</v>
      </c>
      <c r="I124" s="105">
        <f t="shared" si="16"/>
        <v>0</v>
      </c>
      <c r="K124" s="156"/>
      <c r="L124" s="102"/>
    </row>
    <row r="125" spans="1:12" s="115" customFormat="1" ht="37.5">
      <c r="A125" s="108" t="s">
        <v>93</v>
      </c>
      <c r="B125" s="109">
        <f>24768.3+1268.6</f>
        <v>26036.899999999998</v>
      </c>
      <c r="C125" s="110">
        <v>45511.3</v>
      </c>
      <c r="D125" s="111">
        <f>3529.6+2264.3+1265.3+2996.5+533.1+738.7+2380.2+1722.3+1049.4+1874.1+1476.2+1455.5+94.4+1416+1268.6+1913.6</f>
        <v>25977.8</v>
      </c>
      <c r="E125" s="114">
        <f>D125/D107*100</f>
        <v>13.751503370938783</v>
      </c>
      <c r="F125" s="100">
        <f t="shared" si="17"/>
        <v>99.7730144525654</v>
      </c>
      <c r="G125" s="100">
        <f t="shared" si="14"/>
        <v>57.07989004928445</v>
      </c>
      <c r="H125" s="101">
        <f t="shared" si="15"/>
        <v>59.099999999998545</v>
      </c>
      <c r="I125" s="101">
        <f t="shared" si="16"/>
        <v>19533.500000000004</v>
      </c>
      <c r="K125" s="156"/>
      <c r="L125" s="102"/>
    </row>
    <row r="126" spans="1:12" s="115" customFormat="1" ht="18.75">
      <c r="A126" s="108" t="s">
        <v>89</v>
      </c>
      <c r="B126" s="109">
        <v>655</v>
      </c>
      <c r="C126" s="110">
        <v>700</v>
      </c>
      <c r="D126" s="111">
        <f>9.6+1.5</f>
        <v>11.1</v>
      </c>
      <c r="E126" s="114">
        <f>D126/D107*100</f>
        <v>0.0058758512043906915</v>
      </c>
      <c r="F126" s="100">
        <f t="shared" si="17"/>
        <v>1.6946564885496185</v>
      </c>
      <c r="G126" s="100">
        <f t="shared" si="14"/>
        <v>1.5857142857142859</v>
      </c>
      <c r="H126" s="101">
        <f t="shared" si="15"/>
        <v>643.9</v>
      </c>
      <c r="I126" s="101">
        <f t="shared" si="16"/>
        <v>688.9</v>
      </c>
      <c r="K126" s="156"/>
      <c r="L126" s="102"/>
    </row>
    <row r="127" spans="1:12" s="115" customFormat="1" ht="37.5">
      <c r="A127" s="108" t="s">
        <v>98</v>
      </c>
      <c r="B127" s="109">
        <v>200</v>
      </c>
      <c r="C127" s="110">
        <v>200</v>
      </c>
      <c r="D127" s="111">
        <v>63.1</v>
      </c>
      <c r="E127" s="114">
        <f>D127/D107*100</f>
        <v>0.033402361351085826</v>
      </c>
      <c r="F127" s="100">
        <f t="shared" si="17"/>
        <v>31.55</v>
      </c>
      <c r="G127" s="100">
        <f t="shared" si="14"/>
        <v>31.55</v>
      </c>
      <c r="H127" s="101">
        <f t="shared" si="15"/>
        <v>136.9</v>
      </c>
      <c r="I127" s="101">
        <f t="shared" si="16"/>
        <v>136.9</v>
      </c>
      <c r="K127" s="156"/>
      <c r="L127" s="102"/>
    </row>
    <row r="128" spans="1:12" s="115" customFormat="1" ht="37.5">
      <c r="A128" s="108" t="s">
        <v>83</v>
      </c>
      <c r="B128" s="109">
        <v>74</v>
      </c>
      <c r="C128" s="110">
        <f>111.1</f>
        <v>111.1</v>
      </c>
      <c r="D128" s="111"/>
      <c r="E128" s="114">
        <f>D128/D107*100</f>
        <v>0</v>
      </c>
      <c r="F128" s="100">
        <f t="shared" si="17"/>
        <v>0</v>
      </c>
      <c r="G128" s="100">
        <f t="shared" si="14"/>
        <v>0</v>
      </c>
      <c r="H128" s="101">
        <f t="shared" si="15"/>
        <v>74</v>
      </c>
      <c r="I128" s="101">
        <f t="shared" si="16"/>
        <v>111.1</v>
      </c>
      <c r="K128" s="156"/>
      <c r="L128" s="102"/>
    </row>
    <row r="129" spans="1:12" s="115" customFormat="1" ht="18.75" hidden="1">
      <c r="A129" s="113" t="s">
        <v>81</v>
      </c>
      <c r="B129" s="171"/>
      <c r="C129" s="110"/>
      <c r="D129" s="111"/>
      <c r="E129" s="114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5"/>
        <v>0</v>
      </c>
      <c r="I129" s="101">
        <f t="shared" si="16"/>
        <v>0</v>
      </c>
      <c r="K129" s="156"/>
      <c r="L129" s="102"/>
    </row>
    <row r="130" spans="1:12" s="115" customFormat="1" ht="37.5">
      <c r="A130" s="108" t="s">
        <v>55</v>
      </c>
      <c r="B130" s="109">
        <v>255.5</v>
      </c>
      <c r="C130" s="110">
        <v>942</v>
      </c>
      <c r="D130" s="111">
        <f>7+4.2+0.1+12.3+0.2+7.1+17.8+14.9+1.7+0.1+7.4+7+2.7+3.7+7.1+5.3+31.3+16.4+2.5+1.7+26.7+0.1+13.8+0.1+2.9+6.5+0.6+7+4.8+0.1+17.3+0.5+7.6-0.1</f>
        <v>238.4</v>
      </c>
      <c r="E130" s="114">
        <f>D130/D107*100</f>
        <v>0.12619846190330997</v>
      </c>
      <c r="F130" s="100">
        <f t="shared" si="17"/>
        <v>93.30724070450098</v>
      </c>
      <c r="G130" s="100">
        <f t="shared" si="14"/>
        <v>25.307855626326965</v>
      </c>
      <c r="H130" s="101">
        <f t="shared" si="15"/>
        <v>17.099999999999994</v>
      </c>
      <c r="I130" s="101">
        <f t="shared" si="16"/>
        <v>703.6</v>
      </c>
      <c r="K130" s="156"/>
      <c r="L130" s="102"/>
    </row>
    <row r="131" spans="1:12" s="116" customFormat="1" ht="18.75">
      <c r="A131" s="103" t="s">
        <v>86</v>
      </c>
      <c r="B131" s="104">
        <v>43.6</v>
      </c>
      <c r="C131" s="105">
        <v>510.8</v>
      </c>
      <c r="D131" s="106">
        <f>7+7.1+7+7.1+7+7</f>
        <v>42.2</v>
      </c>
      <c r="E131" s="107">
        <f>D131/D130*100</f>
        <v>17.701342281879196</v>
      </c>
      <c r="F131" s="107">
        <f>D131/B131*100</f>
        <v>96.78899082568807</v>
      </c>
      <c r="G131" s="107">
        <f t="shared" si="14"/>
        <v>8.261550509005481</v>
      </c>
      <c r="H131" s="105">
        <f t="shared" si="15"/>
        <v>1.3999999999999986</v>
      </c>
      <c r="I131" s="105">
        <f t="shared" si="16"/>
        <v>468.6</v>
      </c>
      <c r="K131" s="156"/>
      <c r="L131" s="102"/>
    </row>
    <row r="132" spans="1:12" s="115" customFormat="1" ht="37.5">
      <c r="A132" s="108" t="s">
        <v>101</v>
      </c>
      <c r="B132" s="109">
        <v>210</v>
      </c>
      <c r="C132" s="110">
        <v>485</v>
      </c>
      <c r="D132" s="111"/>
      <c r="E132" s="114">
        <f>D132/D107*100</f>
        <v>0</v>
      </c>
      <c r="F132" s="112">
        <f t="shared" si="17"/>
        <v>0</v>
      </c>
      <c r="G132" s="100">
        <f t="shared" si="14"/>
        <v>0</v>
      </c>
      <c r="H132" s="101">
        <f t="shared" si="15"/>
        <v>210</v>
      </c>
      <c r="I132" s="101">
        <f t="shared" si="16"/>
        <v>485</v>
      </c>
      <c r="K132" s="156"/>
      <c r="L132" s="102"/>
    </row>
    <row r="133" spans="1:12" s="116" customFormat="1" ht="18.75" hidden="1">
      <c r="A133" s="113" t="s">
        <v>41</v>
      </c>
      <c r="B133" s="172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5"/>
        <v>0</v>
      </c>
      <c r="I133" s="105">
        <f t="shared" si="16"/>
        <v>0</v>
      </c>
      <c r="K133" s="156"/>
      <c r="L133" s="102"/>
    </row>
    <row r="134" spans="1:12" s="115" customFormat="1" ht="35.25" customHeight="1" hidden="1">
      <c r="A134" s="108" t="s">
        <v>100</v>
      </c>
      <c r="B134" s="171"/>
      <c r="C134" s="110"/>
      <c r="D134" s="111"/>
      <c r="E134" s="114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5"/>
        <v>0</v>
      </c>
      <c r="I134" s="101">
        <f>C134-D134</f>
        <v>0</v>
      </c>
      <c r="K134" s="156"/>
      <c r="L134" s="102"/>
    </row>
    <row r="135" spans="1:12" s="115" customFormat="1" ht="21.75" customHeight="1" hidden="1">
      <c r="A135" s="108" t="s">
        <v>99</v>
      </c>
      <c r="B135" s="171"/>
      <c r="C135" s="110"/>
      <c r="D135" s="111"/>
      <c r="E135" s="114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5"/>
        <v>0</v>
      </c>
      <c r="I135" s="101">
        <f t="shared" si="16"/>
        <v>0</v>
      </c>
      <c r="K135" s="156"/>
      <c r="L135" s="102"/>
    </row>
    <row r="136" spans="1:12" s="115" customFormat="1" ht="35.25" customHeight="1">
      <c r="A136" s="108" t="s">
        <v>85</v>
      </c>
      <c r="B136" s="109">
        <f>175-120</f>
        <v>55</v>
      </c>
      <c r="C136" s="110">
        <v>383.2</v>
      </c>
      <c r="D136" s="111">
        <f>2.9+1.5+9.7+8.2+0.2-0.4+16+13.6</f>
        <v>51.699999999999996</v>
      </c>
      <c r="E136" s="114">
        <f>D136/D107*100</f>
        <v>0.027367703357387273</v>
      </c>
      <c r="F136" s="100">
        <f t="shared" si="17"/>
        <v>94</v>
      </c>
      <c r="G136" s="100">
        <f t="shared" si="14"/>
        <v>13.491649269311065</v>
      </c>
      <c r="H136" s="101">
        <f t="shared" si="15"/>
        <v>3.3000000000000043</v>
      </c>
      <c r="I136" s="101">
        <f t="shared" si="16"/>
        <v>331.5</v>
      </c>
      <c r="K136" s="156"/>
      <c r="L136" s="102"/>
    </row>
    <row r="137" spans="1:12" s="115" customFormat="1" ht="39" customHeight="1">
      <c r="A137" s="108" t="s">
        <v>52</v>
      </c>
      <c r="B137" s="109">
        <v>120</v>
      </c>
      <c r="C137" s="110">
        <v>350</v>
      </c>
      <c r="D137" s="111">
        <f>3.7+1.9+30+0.6</f>
        <v>36.2</v>
      </c>
      <c r="E137" s="114">
        <f>D137/D107*100</f>
        <v>0.01916268590981469</v>
      </c>
      <c r="F137" s="100">
        <f t="shared" si="17"/>
        <v>30.166666666666668</v>
      </c>
      <c r="G137" s="100">
        <f t="shared" si="14"/>
        <v>10.342857142857143</v>
      </c>
      <c r="H137" s="101">
        <f t="shared" si="15"/>
        <v>83.8</v>
      </c>
      <c r="I137" s="101">
        <f t="shared" si="16"/>
        <v>313.8</v>
      </c>
      <c r="K137" s="156"/>
      <c r="L137" s="102"/>
    </row>
    <row r="138" spans="1:12" s="116" customFormat="1" ht="18.75">
      <c r="A138" s="103" t="s">
        <v>86</v>
      </c>
      <c r="B138" s="104">
        <v>38</v>
      </c>
      <c r="C138" s="105">
        <v>110</v>
      </c>
      <c r="D138" s="106">
        <f>3.7+1.9</f>
        <v>5.6</v>
      </c>
      <c r="E138" s="107"/>
      <c r="F138" s="100">
        <f>D138/B138*100</f>
        <v>14.736842105263156</v>
      </c>
      <c r="G138" s="107">
        <f>D138/C138*100</f>
        <v>5.09090909090909</v>
      </c>
      <c r="H138" s="105">
        <f>B138-D138</f>
        <v>32.4</v>
      </c>
      <c r="I138" s="105">
        <f>C138-D138</f>
        <v>104.4</v>
      </c>
      <c r="K138" s="162"/>
      <c r="L138" s="163"/>
    </row>
    <row r="139" spans="1:12" s="115" customFormat="1" ht="32.25" customHeight="1">
      <c r="A139" s="108" t="s">
        <v>82</v>
      </c>
      <c r="B139" s="109">
        <v>345.7</v>
      </c>
      <c r="C139" s="110">
        <v>607.7</v>
      </c>
      <c r="D139" s="111">
        <f>76+0.3+41+44+1.8+16.3+2.4+30+0.6+0.2+27.4+0.2+4.5-0.2+31.4+4.5</f>
        <v>280.40000000000003</v>
      </c>
      <c r="E139" s="114">
        <f>D139/D107*100</f>
        <v>0.14843141240640992</v>
      </c>
      <c r="F139" s="100">
        <f>D139/B139*100</f>
        <v>81.11078970205382</v>
      </c>
      <c r="G139" s="100">
        <f>D139/C139*100</f>
        <v>46.14118808622676</v>
      </c>
      <c r="H139" s="101">
        <f t="shared" si="15"/>
        <v>65.29999999999995</v>
      </c>
      <c r="I139" s="101">
        <f t="shared" si="16"/>
        <v>327.3</v>
      </c>
      <c r="K139" s="162"/>
      <c r="L139" s="163"/>
    </row>
    <row r="140" spans="1:12" s="116" customFormat="1" ht="18.75">
      <c r="A140" s="103" t="s">
        <v>26</v>
      </c>
      <c r="B140" s="104">
        <v>283.8</v>
      </c>
      <c r="C140" s="105">
        <v>489.6</v>
      </c>
      <c r="D140" s="106">
        <f>76+37.6+44+1.2+0.7+30+27.4+30.6</f>
        <v>247.49999999999997</v>
      </c>
      <c r="E140" s="107">
        <f>D140/D139*100</f>
        <v>88.26676176890155</v>
      </c>
      <c r="F140" s="107">
        <f t="shared" si="17"/>
        <v>87.20930232558139</v>
      </c>
      <c r="G140" s="107">
        <f>D140/C140*100</f>
        <v>50.55147058823528</v>
      </c>
      <c r="H140" s="105">
        <f t="shared" si="15"/>
        <v>36.30000000000004</v>
      </c>
      <c r="I140" s="105">
        <f t="shared" si="16"/>
        <v>242.10000000000005</v>
      </c>
      <c r="K140" s="162"/>
      <c r="L140" s="163"/>
    </row>
    <row r="141" spans="1:12" s="115" customFormat="1" ht="18.75">
      <c r="A141" s="108" t="s">
        <v>94</v>
      </c>
      <c r="B141" s="109">
        <v>892</v>
      </c>
      <c r="C141" s="110">
        <v>1760</v>
      </c>
      <c r="D141" s="111">
        <f>107.3+0.4+30.4+78.2+4.1+36.9+117.9+50.5+112.6+5.2+52.3+10.5+76.8-0.2+10.4+82.9+84</f>
        <v>860.1999999999999</v>
      </c>
      <c r="E141" s="114">
        <f>D141/D107*100</f>
        <v>0.4553520005420606</v>
      </c>
      <c r="F141" s="100">
        <f t="shared" si="17"/>
        <v>96.43497757847534</v>
      </c>
      <c r="G141" s="100">
        <f t="shared" si="14"/>
        <v>48.87499999999999</v>
      </c>
      <c r="H141" s="101">
        <f t="shared" si="15"/>
        <v>31.800000000000068</v>
      </c>
      <c r="I141" s="101">
        <f t="shared" si="16"/>
        <v>899.8000000000001</v>
      </c>
      <c r="K141" s="162"/>
      <c r="L141" s="163"/>
    </row>
    <row r="142" spans="1:12" s="116" customFormat="1" ht="18.75">
      <c r="A142" s="113" t="s">
        <v>41</v>
      </c>
      <c r="B142" s="104">
        <v>713.6</v>
      </c>
      <c r="C142" s="105">
        <v>1437.4</v>
      </c>
      <c r="D142" s="106">
        <f>107.3+25.4+76+34+76.6+47.2+83.8+4.5+35.4+76.8-0.2+60.7+81</f>
        <v>708.4999999999999</v>
      </c>
      <c r="E142" s="107">
        <f>D142/D141*100</f>
        <v>82.36456637991164</v>
      </c>
      <c r="F142" s="107">
        <f t="shared" si="17"/>
        <v>99.28531390134528</v>
      </c>
      <c r="G142" s="107">
        <f t="shared" si="14"/>
        <v>49.29038541811603</v>
      </c>
      <c r="H142" s="105">
        <f t="shared" si="15"/>
        <v>5.100000000000136</v>
      </c>
      <c r="I142" s="105">
        <f t="shared" si="16"/>
        <v>728.9000000000002</v>
      </c>
      <c r="K142" s="162"/>
      <c r="L142" s="163"/>
    </row>
    <row r="143" spans="1:13" s="116" customFormat="1" ht="18.75">
      <c r="A143" s="103" t="s">
        <v>26</v>
      </c>
      <c r="B143" s="104">
        <v>27.2</v>
      </c>
      <c r="C143" s="105">
        <v>40</v>
      </c>
      <c r="D143" s="106">
        <f>0.4+4.9+0.7+4.7+3.3+0.4+0.7+0.6+0.1</f>
        <v>15.799999999999999</v>
      </c>
      <c r="E143" s="107">
        <f>D143/D141*100</f>
        <v>1.8367821436875147</v>
      </c>
      <c r="F143" s="107">
        <f t="shared" si="17"/>
        <v>58.08823529411764</v>
      </c>
      <c r="G143" s="107">
        <f>D143/C143*100</f>
        <v>39.49999999999999</v>
      </c>
      <c r="H143" s="105">
        <f t="shared" si="15"/>
        <v>11.4</v>
      </c>
      <c r="I143" s="105">
        <f t="shared" si="16"/>
        <v>24.200000000000003</v>
      </c>
      <c r="K143" s="162"/>
      <c r="L143" s="163"/>
      <c r="M143" s="157"/>
    </row>
    <row r="144" spans="1:12" s="115" customFormat="1" ht="33.75" customHeight="1">
      <c r="A144" s="119" t="s">
        <v>54</v>
      </c>
      <c r="B144" s="109">
        <f>90+7.5+527</f>
        <v>624.5</v>
      </c>
      <c r="C144" s="110">
        <f>90+534.5</f>
        <v>624.5</v>
      </c>
      <c r="D144" s="111">
        <f>7.5+527</f>
        <v>534.5</v>
      </c>
      <c r="E144" s="114">
        <f>D144/D107*100</f>
        <v>0.2829407629501644</v>
      </c>
      <c r="F144" s="100">
        <f t="shared" si="17"/>
        <v>85.58847077662129</v>
      </c>
      <c r="G144" s="100">
        <f t="shared" si="14"/>
        <v>85.58847077662129</v>
      </c>
      <c r="H144" s="101">
        <f t="shared" si="15"/>
        <v>90</v>
      </c>
      <c r="I144" s="101">
        <f t="shared" si="16"/>
        <v>90</v>
      </c>
      <c r="K144" s="162"/>
      <c r="L144" s="163"/>
    </row>
    <row r="145" spans="1:12" s="115" customFormat="1" ht="18.75" hidden="1">
      <c r="A145" s="119" t="s">
        <v>90</v>
      </c>
      <c r="B145" s="171"/>
      <c r="C145" s="110"/>
      <c r="D145" s="111"/>
      <c r="E145" s="114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5"/>
        <v>0</v>
      </c>
      <c r="I145" s="101">
        <f t="shared" si="16"/>
        <v>0</v>
      </c>
      <c r="K145" s="162"/>
      <c r="L145" s="163"/>
    </row>
    <row r="146" spans="1:12" s="115" customFormat="1" ht="18.75">
      <c r="A146" s="119" t="s">
        <v>95</v>
      </c>
      <c r="B146" s="109">
        <f>22821.5-1011+1000+2399+1817.8</f>
        <v>27027.3</v>
      </c>
      <c r="C146" s="110">
        <f>56447.1-100+1500-3000+10865.4</f>
        <v>65712.5</v>
      </c>
      <c r="D146" s="111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</f>
        <v>25104.600000000002</v>
      </c>
      <c r="E146" s="114">
        <f>D146/D107*100</f>
        <v>13.289269742860052</v>
      </c>
      <c r="F146" s="100">
        <f t="shared" si="17"/>
        <v>92.88608185057332</v>
      </c>
      <c r="G146" s="100">
        <f t="shared" si="14"/>
        <v>38.20369031767168</v>
      </c>
      <c r="H146" s="101">
        <f t="shared" si="15"/>
        <v>1922.699999999997</v>
      </c>
      <c r="I146" s="101">
        <f t="shared" si="16"/>
        <v>40607.899999999994</v>
      </c>
      <c r="K146" s="162"/>
      <c r="L146" s="163"/>
    </row>
    <row r="147" spans="1:12" s="115" customFormat="1" ht="18.75" hidden="1">
      <c r="A147" s="119" t="s">
        <v>84</v>
      </c>
      <c r="B147" s="171"/>
      <c r="C147" s="110"/>
      <c r="D147" s="111"/>
      <c r="E147" s="114">
        <f>D147/D107*100</f>
        <v>0</v>
      </c>
      <c r="F147" s="100" t="e">
        <f t="shared" si="17"/>
        <v>#DIV/0!</v>
      </c>
      <c r="G147" s="100" t="e">
        <f t="shared" si="14"/>
        <v>#DIV/0!</v>
      </c>
      <c r="H147" s="101">
        <f t="shared" si="15"/>
        <v>0</v>
      </c>
      <c r="I147" s="101">
        <f t="shared" si="16"/>
        <v>0</v>
      </c>
      <c r="K147" s="162"/>
      <c r="L147" s="163"/>
    </row>
    <row r="148" spans="1:12" s="115" customFormat="1" ht="37.5" hidden="1">
      <c r="A148" s="119" t="s">
        <v>102</v>
      </c>
      <c r="B148" s="171"/>
      <c r="C148" s="110"/>
      <c r="D148" s="111"/>
      <c r="E148" s="114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62"/>
      <c r="L148" s="163"/>
    </row>
    <row r="149" spans="1:12" s="115" customFormat="1" ht="18.75">
      <c r="A149" s="108" t="s">
        <v>96</v>
      </c>
      <c r="B149" s="109">
        <v>89.4</v>
      </c>
      <c r="C149" s="110">
        <v>162.3</v>
      </c>
      <c r="D149" s="111">
        <f>46.4+43</f>
        <v>89.4</v>
      </c>
      <c r="E149" s="114">
        <f>D149/D107*100</f>
        <v>0.04732442321374125</v>
      </c>
      <c r="F149" s="100">
        <f t="shared" si="17"/>
        <v>100</v>
      </c>
      <c r="G149" s="100">
        <f t="shared" si="14"/>
        <v>55.08317929759704</v>
      </c>
      <c r="H149" s="101">
        <f t="shared" si="15"/>
        <v>0</v>
      </c>
      <c r="I149" s="101">
        <f t="shared" si="16"/>
        <v>72.9</v>
      </c>
      <c r="K149" s="162"/>
      <c r="L149" s="163"/>
    </row>
    <row r="150" spans="1:12" s="115" customFormat="1" ht="18" customHeight="1">
      <c r="A150" s="108" t="s">
        <v>75</v>
      </c>
      <c r="B150" s="109">
        <v>6260.2</v>
      </c>
      <c r="C150" s="110">
        <f>10563.8+657.7</f>
        <v>11221.5</v>
      </c>
      <c r="D150" s="111">
        <f>791.9+575.3+777.6+830.9+722.1+47.7+657.7+821-47.6+744.9</f>
        <v>5921.499999999999</v>
      </c>
      <c r="E150" s="114">
        <f>D150/D107*100</f>
        <v>3.134581342954908</v>
      </c>
      <c r="F150" s="100">
        <f t="shared" si="17"/>
        <v>94.58962972428995</v>
      </c>
      <c r="G150" s="100">
        <f t="shared" si="14"/>
        <v>52.76923762420353</v>
      </c>
      <c r="H150" s="101">
        <f t="shared" si="15"/>
        <v>338.7000000000007</v>
      </c>
      <c r="I150" s="101">
        <f t="shared" si="16"/>
        <v>5300.000000000001</v>
      </c>
      <c r="K150" s="162"/>
      <c r="L150" s="163"/>
    </row>
    <row r="151" spans="1:12" s="115" customFormat="1" ht="19.5" customHeight="1">
      <c r="A151" s="149" t="s">
        <v>48</v>
      </c>
      <c r="B151" s="150">
        <f>151473.2+1011+432.7+12+24.2-2399-1823.8</f>
        <v>148730.30000000005</v>
      </c>
      <c r="C151" s="151">
        <f>350771.5+40351.1-7680.2+12-588.3</f>
        <v>382866.1</v>
      </c>
      <c r="D151" s="152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</f>
        <v>105486.90000000001</v>
      </c>
      <c r="E151" s="153">
        <f>D151/D107*100</f>
        <v>55.84011967679644</v>
      </c>
      <c r="F151" s="154">
        <f t="shared" si="17"/>
        <v>70.92495611183463</v>
      </c>
      <c r="G151" s="154">
        <f t="shared" si="14"/>
        <v>27.55190391627778</v>
      </c>
      <c r="H151" s="155">
        <f t="shared" si="15"/>
        <v>43243.40000000004</v>
      </c>
      <c r="I151" s="155">
        <f>C151-D151</f>
        <v>277379.19999999995</v>
      </c>
      <c r="K151" s="162"/>
      <c r="L151" s="163"/>
    </row>
    <row r="152" spans="1:12" s="115" customFormat="1" ht="18.75">
      <c r="A152" s="108" t="s">
        <v>97</v>
      </c>
      <c r="B152" s="109">
        <v>21116.2</v>
      </c>
      <c r="C152" s="110">
        <v>42232</v>
      </c>
      <c r="D152" s="111">
        <f>819+819+819.1+1062.3+1173.1+1173.1+1173.2+1173.1+1173.1+1173.2+1173.1+1173.1+1173.2+1173.1+1173.1+1173.1+1173.1+1173.1+1173.1</f>
        <v>21116.199999999997</v>
      </c>
      <c r="E152" s="114">
        <f>D152/D107*100</f>
        <v>11.177986414608531</v>
      </c>
      <c r="F152" s="100">
        <f t="shared" si="17"/>
        <v>99.99999999999997</v>
      </c>
      <c r="G152" s="100">
        <f t="shared" si="14"/>
        <v>50.00047357454063</v>
      </c>
      <c r="H152" s="101">
        <f t="shared" si="15"/>
        <v>0</v>
      </c>
      <c r="I152" s="101">
        <f t="shared" si="16"/>
        <v>21115.800000000003</v>
      </c>
      <c r="K152" s="162"/>
      <c r="L152" s="163"/>
    </row>
    <row r="153" spans="1:12" s="2" customFormat="1" ht="19.5" thickBot="1">
      <c r="A153" s="27" t="s">
        <v>30</v>
      </c>
      <c r="B153" s="173"/>
      <c r="C153" s="62"/>
      <c r="D153" s="43">
        <f>D43+D69+D72+D77+D79+D87+D102+D107+D100+D84+D98</f>
        <v>196554.09999999995</v>
      </c>
      <c r="E153" s="13"/>
      <c r="F153" s="13"/>
      <c r="G153" s="4"/>
      <c r="H153" s="51"/>
      <c r="I153" s="43"/>
      <c r="K153" s="162"/>
      <c r="L153" s="164"/>
    </row>
    <row r="154" spans="1:12" ht="19.5" thickBot="1">
      <c r="A154" s="10" t="s">
        <v>18</v>
      </c>
      <c r="B154" s="39">
        <f>B6+B18+B33+B43+B51+B59+B69+B72+B77+B79+B87+B90+B95+B102+B107+B100+B84+B98+B45</f>
        <v>1110041.4</v>
      </c>
      <c r="C154" s="39">
        <f>C6+C18+C33+C43+C51+C59+C69+C72+C77+C79+C87+C90+C95+C102+C107+C100+C84+C98+C45</f>
        <v>2166335.2999999993</v>
      </c>
      <c r="D154" s="39">
        <f>D6+D18+D33+D43+D51+D59+D69+D72+D77+D79+D87+D90+D95+D102+D107+D100+D84+D98+D45</f>
        <v>1006001.4999999999</v>
      </c>
      <c r="E154" s="26">
        <v>100</v>
      </c>
      <c r="F154" s="3">
        <f>D154/B154*100</f>
        <v>90.62738560922142</v>
      </c>
      <c r="G154" s="3">
        <f aca="true" t="shared" si="18" ref="G154:G160">D154/C154*100</f>
        <v>46.437940608732184</v>
      </c>
      <c r="H154" s="39">
        <f aca="true" t="shared" si="19" ref="H154:H160">B154-D154</f>
        <v>104039.90000000002</v>
      </c>
      <c r="I154" s="39">
        <f aca="true" t="shared" si="20" ref="I154:I160">C154-D154</f>
        <v>1160333.7999999993</v>
      </c>
      <c r="K154" s="165"/>
      <c r="L154" s="166"/>
    </row>
    <row r="155" spans="1:12" ht="18.75">
      <c r="A155" s="14" t="s">
        <v>5</v>
      </c>
      <c r="B155" s="50">
        <f>B8+B20+B34+B52+B60+B91+B115+B120+B46+B142+B133+B103</f>
        <v>509593.39999999997</v>
      </c>
      <c r="C155" s="50">
        <f>C8+C20+C34+C52+C60+C91+C115+C120+C46+C142+C133+C103</f>
        <v>896180.8</v>
      </c>
      <c r="D155" s="50">
        <f>D8+D20+D34+D52+D60+D91+D115+D120+D46+D142+D133+D103</f>
        <v>491905.81000000006</v>
      </c>
      <c r="E155" s="4">
        <f>D155/D154*100</f>
        <v>48.897124904883356</v>
      </c>
      <c r="F155" s="4">
        <f aca="true" t="shared" si="21" ref="F155:F160">D155/B155*100</f>
        <v>96.52907788837142</v>
      </c>
      <c r="G155" s="4">
        <f t="shared" si="18"/>
        <v>54.88912616739837</v>
      </c>
      <c r="H155" s="51">
        <f t="shared" si="19"/>
        <v>17687.58999999991</v>
      </c>
      <c r="I155" s="61">
        <f t="shared" si="20"/>
        <v>404274.99</v>
      </c>
      <c r="K155" s="162"/>
      <c r="L155" s="166"/>
    </row>
    <row r="156" spans="1:12" ht="18.75">
      <c r="A156" s="14" t="s">
        <v>0</v>
      </c>
      <c r="B156" s="51">
        <f>B11+B23+B36+B55+B62+B92+B49+B143+B109+B112+B96+B140+B129</f>
        <v>63920.59999999999</v>
      </c>
      <c r="C156" s="51">
        <f>C11+C23+C36+C55+C62+C92+C49+C143+C109+C112+C96+C140+C129</f>
        <v>110563.99999999999</v>
      </c>
      <c r="D156" s="51">
        <f>D11+D23+D36+D55+D62+D92+D49+D143+D109+D112+D96+D140+D129</f>
        <v>60886.29999999999</v>
      </c>
      <c r="E156" s="4">
        <f>D156/D154*100</f>
        <v>6.052307079064991</v>
      </c>
      <c r="F156" s="4">
        <f t="shared" si="21"/>
        <v>95.25301702424571</v>
      </c>
      <c r="G156" s="4">
        <f t="shared" si="18"/>
        <v>55.06882891357042</v>
      </c>
      <c r="H156" s="51">
        <f>B156-D156</f>
        <v>3034.300000000003</v>
      </c>
      <c r="I156" s="61">
        <f t="shared" si="20"/>
        <v>49677.7</v>
      </c>
      <c r="K156" s="162"/>
      <c r="L156" s="167"/>
    </row>
    <row r="157" spans="1:12" ht="18.75">
      <c r="A157" s="14" t="s">
        <v>1</v>
      </c>
      <c r="B157" s="50">
        <f>B22+B10+B54+B48+B61+B35+B124</f>
        <v>24626.999999999996</v>
      </c>
      <c r="C157" s="50">
        <f>C22+C10+C54+C48+C61+C35+C124</f>
        <v>45948.3</v>
      </c>
      <c r="D157" s="50">
        <f>D22+D10+D54+D48+D61+D35+D124</f>
        <v>15659.299999999996</v>
      </c>
      <c r="E157" s="4">
        <f>D157/D154*100</f>
        <v>1.5565881362999954</v>
      </c>
      <c r="F157" s="4">
        <f t="shared" si="21"/>
        <v>63.58590165265764</v>
      </c>
      <c r="G157" s="4">
        <f t="shared" si="18"/>
        <v>34.080259770219996</v>
      </c>
      <c r="H157" s="51">
        <f t="shared" si="19"/>
        <v>8967.7</v>
      </c>
      <c r="I157" s="61">
        <f t="shared" si="20"/>
        <v>30289.000000000007</v>
      </c>
      <c r="K157" s="156"/>
      <c r="L157" s="32"/>
    </row>
    <row r="158" spans="1:12" ht="21" customHeight="1">
      <c r="A158" s="14" t="s">
        <v>14</v>
      </c>
      <c r="B158" s="50">
        <f>B12+B24+B104+B63+B38+B93+B131+B56+B138+B118</f>
        <v>16083.800000000001</v>
      </c>
      <c r="C158" s="50">
        <f>C12+C24+C104+C63+C38+C93+C131+C56+C138+C118</f>
        <v>30229.899999999998</v>
      </c>
      <c r="D158" s="50">
        <f>D12+D24+D104+D63+D38+D93+D131+D56+D138+D118</f>
        <v>13621.2</v>
      </c>
      <c r="E158" s="4">
        <f>D158/D154*100</f>
        <v>1.353994004979118</v>
      </c>
      <c r="F158" s="4">
        <f t="shared" si="21"/>
        <v>84.68894166801377</v>
      </c>
      <c r="G158" s="4">
        <f t="shared" si="18"/>
        <v>45.058700161098784</v>
      </c>
      <c r="H158" s="51">
        <f>B158-D158</f>
        <v>2462.6000000000004</v>
      </c>
      <c r="I158" s="61">
        <f t="shared" si="20"/>
        <v>16608.699999999997</v>
      </c>
      <c r="K158" s="156"/>
      <c r="L158" s="68"/>
    </row>
    <row r="159" spans="1:12" ht="18.75">
      <c r="A159" s="14" t="s">
        <v>2</v>
      </c>
      <c r="B159" s="50">
        <f>B9+B21+B47+B53+B123</f>
        <v>31.6</v>
      </c>
      <c r="C159" s="50">
        <f>C9+C21+C47+C53+C123</f>
        <v>113.10000000000001</v>
      </c>
      <c r="D159" s="50">
        <f>D9+D21+D47+D53+D123</f>
        <v>21.3</v>
      </c>
      <c r="E159" s="4">
        <f>D159/D154*100</f>
        <v>0.0021172930656664034</v>
      </c>
      <c r="F159" s="4">
        <f t="shared" si="21"/>
        <v>67.40506329113924</v>
      </c>
      <c r="G159" s="4">
        <f t="shared" si="18"/>
        <v>18.83289124668435</v>
      </c>
      <c r="H159" s="51">
        <f t="shared" si="19"/>
        <v>10.3</v>
      </c>
      <c r="I159" s="61">
        <f t="shared" si="20"/>
        <v>91.80000000000001</v>
      </c>
      <c r="K159" s="156"/>
      <c r="L159" s="32"/>
    </row>
    <row r="160" spans="1:12" ht="19.5" thickBot="1">
      <c r="A160" s="87" t="s">
        <v>28</v>
      </c>
      <c r="B160" s="63">
        <f>B154-B155-B156-B157-B158-B159</f>
        <v>495785.00000000006</v>
      </c>
      <c r="C160" s="63">
        <f>C154-C155-C156-C157-C158-C159</f>
        <v>1083299.1999999993</v>
      </c>
      <c r="D160" s="63">
        <f>D154-D155-D156-D157-D158-D159</f>
        <v>423907.58999999985</v>
      </c>
      <c r="E160" s="29">
        <f>D160/D154*100</f>
        <v>42.137868581706876</v>
      </c>
      <c r="F160" s="29">
        <f t="shared" si="21"/>
        <v>85.50230240931045</v>
      </c>
      <c r="G160" s="29">
        <f t="shared" si="18"/>
        <v>39.131164317300346</v>
      </c>
      <c r="H160" s="88">
        <f t="shared" si="19"/>
        <v>71877.4100000002</v>
      </c>
      <c r="I160" s="88">
        <f t="shared" si="20"/>
        <v>659391.6099999994</v>
      </c>
      <c r="K160" s="156"/>
      <c r="L160" s="68"/>
    </row>
    <row r="161" spans="7:8" ht="12.75">
      <c r="G161" s="16"/>
      <c r="H161" s="16"/>
    </row>
    <row r="162" spans="3:11" ht="12.75">
      <c r="C162" s="156"/>
      <c r="G162" s="16"/>
      <c r="H162" s="16"/>
      <c r="I162" s="16"/>
      <c r="K162" s="94"/>
    </row>
    <row r="163" spans="7:11" ht="12.75">
      <c r="G163" s="16"/>
      <c r="H163" s="16"/>
      <c r="K163" s="94"/>
    </row>
    <row r="164" spans="7:11" ht="12.75">
      <c r="G164" s="16"/>
      <c r="H164" s="16"/>
      <c r="K164" s="94"/>
    </row>
    <row r="165" spans="4:8" ht="12.75">
      <c r="D165" s="156"/>
      <c r="G165" s="16"/>
      <c r="H165" s="16"/>
    </row>
    <row r="166" spans="2:8" ht="12.75">
      <c r="B166" s="168"/>
      <c r="C166" s="169"/>
      <c r="G166" s="16"/>
      <c r="H166" s="16"/>
    </row>
    <row r="167" spans="2:8" ht="12.75">
      <c r="B167" s="91"/>
      <c r="C167" s="91"/>
      <c r="D167" s="91"/>
      <c r="G167" s="16"/>
      <c r="H167" s="16"/>
    </row>
    <row r="168" spans="2:8" ht="12.75">
      <c r="B168" s="91"/>
      <c r="G168" s="16"/>
      <c r="H168" s="16"/>
    </row>
    <row r="169" spans="2:8" ht="12.75">
      <c r="B169" s="91"/>
      <c r="C169" s="156"/>
      <c r="G169" s="16"/>
      <c r="H169" s="16"/>
    </row>
    <row r="170" spans="7:8" ht="12.75">
      <c r="G170" s="16"/>
      <c r="H170" s="16"/>
    </row>
    <row r="171" spans="7:8" ht="12.75">
      <c r="G171" s="16"/>
      <c r="H171" s="16"/>
    </row>
    <row r="172" spans="7:8" ht="12.75">
      <c r="G172" s="16"/>
      <c r="H172" s="16"/>
    </row>
    <row r="173" spans="7:8" ht="12.75">
      <c r="G173" s="16"/>
      <c r="H173" s="16"/>
    </row>
    <row r="174" spans="7:8" ht="12.75">
      <c r="G174" s="16"/>
      <c r="H174" s="16"/>
    </row>
    <row r="175" spans="3:8" ht="12.75">
      <c r="C175" s="156"/>
      <c r="G175" s="16"/>
      <c r="H175" s="16"/>
    </row>
    <row r="176" spans="7:8" ht="12.75">
      <c r="G176" s="16"/>
      <c r="H176" s="16"/>
    </row>
    <row r="177" spans="7:8" ht="12.75">
      <c r="G177" s="16"/>
      <c r="H177" s="16"/>
    </row>
    <row r="178" spans="7:8" ht="12.75">
      <c r="G178" s="16"/>
      <c r="H178" s="16"/>
    </row>
    <row r="179" spans="7:8" ht="12.75">
      <c r="G179" s="16"/>
      <c r="H179" s="16"/>
    </row>
    <row r="180" spans="7:8" ht="12.75">
      <c r="G180" s="16"/>
      <c r="H180" s="16"/>
    </row>
    <row r="181" spans="7:8" ht="12.75">
      <c r="G181" s="16"/>
      <c r="H181" s="16"/>
    </row>
    <row r="182" spans="7:8" ht="12.75">
      <c r="G182" s="16"/>
      <c r="H182" s="16"/>
    </row>
    <row r="183" spans="7:8" ht="12.75">
      <c r="G183" s="16"/>
      <c r="H183" s="16"/>
    </row>
    <row r="184" spans="7:8" ht="12.75">
      <c r="G184" s="16"/>
      <c r="H184" s="16"/>
    </row>
    <row r="185" spans="7:8" ht="12.75">
      <c r="G185" s="16"/>
      <c r="H185" s="16"/>
    </row>
    <row r="186" spans="7:8" ht="12.75">
      <c r="G186" s="16"/>
      <c r="H186" s="16"/>
    </row>
    <row r="187" spans="7:8" ht="12.75">
      <c r="G187" s="16"/>
      <c r="H187" s="16"/>
    </row>
    <row r="188" spans="7:8" ht="12.75">
      <c r="G188" s="16"/>
      <c r="H188" s="16"/>
    </row>
    <row r="189" spans="7:8" ht="12.75">
      <c r="G189" s="16"/>
      <c r="H189" s="16"/>
    </row>
    <row r="190" spans="7:8" ht="12.75">
      <c r="G190" s="16"/>
      <c r="H190" s="16"/>
    </row>
    <row r="191" spans="7:8" ht="12.75">
      <c r="G191" s="16"/>
      <c r="H191" s="16"/>
    </row>
    <row r="192" spans="7:8" ht="12.75">
      <c r="G192" s="16"/>
      <c r="H192" s="16"/>
    </row>
    <row r="193" spans="7:8" ht="12.75">
      <c r="G193" s="16"/>
      <c r="H193" s="16"/>
    </row>
    <row r="194" spans="7:8" ht="12.75">
      <c r="G194" s="16"/>
      <c r="H194" s="16"/>
    </row>
    <row r="195" spans="7:8" ht="12.75">
      <c r="G195" s="16"/>
      <c r="H195" s="16"/>
    </row>
    <row r="196" spans="7:8" ht="12.75">
      <c r="G196" s="16"/>
      <c r="H196" s="16"/>
    </row>
    <row r="197" spans="7:8" ht="12.75">
      <c r="G197" s="16"/>
      <c r="H197" s="16"/>
    </row>
    <row r="198" spans="7:8" ht="12.75">
      <c r="G198" s="16"/>
      <c r="H198" s="16"/>
    </row>
    <row r="199" spans="7:8" ht="12.75">
      <c r="G199" s="16"/>
      <c r="H199" s="16"/>
    </row>
    <row r="200" spans="7:8" ht="12.75">
      <c r="G200" s="16"/>
      <c r="H200" s="16"/>
    </row>
    <row r="201" spans="7:8" ht="12.75">
      <c r="G201" s="16"/>
      <c r="H201" s="16"/>
    </row>
    <row r="202" spans="7:8" ht="12.75">
      <c r="G202" s="16"/>
      <c r="H202" s="16"/>
    </row>
    <row r="203" spans="7:8" ht="12.75">
      <c r="G203" s="16"/>
      <c r="H203" s="16"/>
    </row>
    <row r="204" spans="7:8" ht="12.75">
      <c r="G204" s="16"/>
      <c r="H204" s="16"/>
    </row>
    <row r="205" spans="7:8" ht="12.75">
      <c r="G205" s="16"/>
      <c r="H205" s="16"/>
    </row>
    <row r="206" spans="7:8" ht="12.75">
      <c r="G206" s="16"/>
      <c r="H206" s="16"/>
    </row>
    <row r="207" spans="7:8" ht="12.75">
      <c r="G207" s="16"/>
      <c r="H207" s="16"/>
    </row>
    <row r="208" spans="7:8" ht="12.75">
      <c r="G208" s="16"/>
      <c r="H208" s="16"/>
    </row>
    <row r="209" spans="7:8" ht="12.75">
      <c r="G209" s="16"/>
      <c r="H209" s="16"/>
    </row>
    <row r="210" spans="7:8" ht="12.75">
      <c r="G210" s="16"/>
      <c r="H210" s="16"/>
    </row>
    <row r="211" spans="7:8" ht="12.75">
      <c r="G211" s="16"/>
      <c r="H211" s="16"/>
    </row>
    <row r="212" spans="7:8" ht="12.75">
      <c r="G212" s="16"/>
      <c r="H212" s="16"/>
    </row>
    <row r="213" spans="7:8" ht="12.75">
      <c r="G213" s="16"/>
      <c r="H213" s="16"/>
    </row>
    <row r="214" spans="7:8" ht="12.75">
      <c r="G214" s="16"/>
      <c r="H214" s="16"/>
    </row>
    <row r="215" spans="7:8" ht="12.75">
      <c r="G215" s="16"/>
      <c r="H215" s="16"/>
    </row>
    <row r="216" spans="7:8" ht="12.75">
      <c r="G216" s="16"/>
      <c r="H216" s="16"/>
    </row>
    <row r="217" spans="7:8" ht="12.75">
      <c r="G217" s="16"/>
      <c r="H217" s="16"/>
    </row>
    <row r="218" spans="7:8" ht="12.75">
      <c r="G218" s="16"/>
      <c r="H218" s="16"/>
    </row>
    <row r="219" spans="7:8" ht="12.75">
      <c r="G219" s="16"/>
      <c r="H219" s="16"/>
    </row>
    <row r="220" spans="7:8" ht="12.75">
      <c r="G220" s="16"/>
      <c r="H220" s="16"/>
    </row>
    <row r="221" spans="7:8" ht="12.75">
      <c r="G221" s="16"/>
      <c r="H221" s="16"/>
    </row>
    <row r="222" spans="7:8" ht="12.75">
      <c r="G222" s="16"/>
      <c r="H222" s="16"/>
    </row>
    <row r="223" spans="7:8" ht="12.75">
      <c r="G223" s="16"/>
      <c r="H223" s="16"/>
    </row>
    <row r="224" spans="7:8" ht="12.75">
      <c r="G224" s="16"/>
      <c r="H224" s="16"/>
    </row>
    <row r="225" spans="7:8" ht="12.75">
      <c r="G225" s="16"/>
      <c r="H225" s="16"/>
    </row>
    <row r="226" spans="7:8" ht="12.75">
      <c r="G226" s="16"/>
      <c r="H226" s="16"/>
    </row>
    <row r="227" spans="7:8" ht="12.75">
      <c r="G227" s="16"/>
      <c r="H227" s="16"/>
    </row>
    <row r="228" spans="7:8" ht="12.75">
      <c r="G228" s="16"/>
      <c r="H228" s="16"/>
    </row>
    <row r="229" spans="7:8" ht="12.75">
      <c r="G229" s="16"/>
      <c r="H229" s="16"/>
    </row>
    <row r="230" spans="7:8" ht="12.75">
      <c r="G230" s="16"/>
      <c r="H230" s="16"/>
    </row>
    <row r="231" spans="7:8" ht="12.75">
      <c r="G231" s="16"/>
      <c r="H231" s="16"/>
    </row>
    <row r="232" spans="7:8" ht="12.75">
      <c r="G232" s="16"/>
      <c r="H232" s="16"/>
    </row>
    <row r="233" spans="7:8" ht="12.75">
      <c r="G233" s="16"/>
      <c r="H233" s="16"/>
    </row>
    <row r="234" spans="7:8" ht="12.75">
      <c r="G234" s="16"/>
      <c r="H234" s="16"/>
    </row>
    <row r="235" spans="7:8" ht="12.75">
      <c r="G235" s="16"/>
      <c r="H235" s="16"/>
    </row>
    <row r="236" spans="7:8" ht="12.75">
      <c r="G236" s="16"/>
      <c r="H236" s="16"/>
    </row>
    <row r="237" spans="7:8" ht="12.75">
      <c r="G237" s="16"/>
      <c r="H237" s="16"/>
    </row>
    <row r="238" spans="7:8" ht="12.75">
      <c r="G238" s="16"/>
      <c r="H238" s="16"/>
    </row>
    <row r="239" spans="7:8" ht="12.75">
      <c r="G239" s="16"/>
      <c r="H239" s="16"/>
    </row>
    <row r="240" spans="7:8" ht="12.75">
      <c r="G240" s="16"/>
      <c r="H240" s="16"/>
    </row>
    <row r="241" spans="7:8" ht="12.75">
      <c r="G241" s="16"/>
      <c r="H241" s="16"/>
    </row>
    <row r="242" spans="7:8" ht="12.75">
      <c r="G242" s="16"/>
      <c r="H242" s="16"/>
    </row>
    <row r="243" spans="7:8" ht="12.75">
      <c r="G243" s="16"/>
      <c r="H243" s="16"/>
    </row>
    <row r="244" spans="7:8" ht="12.75">
      <c r="G244" s="16"/>
      <c r="H244" s="16"/>
    </row>
    <row r="245" spans="7:8" ht="12.75">
      <c r="G245" s="16"/>
      <c r="H245" s="16"/>
    </row>
    <row r="246" spans="7:8" ht="12.75">
      <c r="G246" s="16"/>
      <c r="H246" s="16"/>
    </row>
    <row r="247" spans="7:8" ht="12.75">
      <c r="G247" s="16"/>
      <c r="H247" s="16"/>
    </row>
    <row r="248" spans="7:8" ht="12.75">
      <c r="G248" s="16"/>
      <c r="H248" s="16"/>
    </row>
    <row r="249" spans="7:8" ht="12.75">
      <c r="G249" s="16"/>
      <c r="H249" s="16"/>
    </row>
    <row r="250" spans="7:8" ht="12.75">
      <c r="G250" s="16"/>
      <c r="H250" s="16"/>
    </row>
    <row r="251" spans="7:8" ht="12.75">
      <c r="G251" s="16"/>
      <c r="H251" s="16"/>
    </row>
    <row r="252" spans="7:8" ht="12.75">
      <c r="G252" s="16"/>
      <c r="H252" s="16"/>
    </row>
    <row r="253" spans="7:8" ht="12.75">
      <c r="G253" s="16"/>
      <c r="H253" s="16"/>
    </row>
    <row r="254" spans="7:8" ht="12.75">
      <c r="G254" s="16"/>
      <c r="H254" s="16"/>
    </row>
    <row r="255" spans="7:8" ht="12.75">
      <c r="G255" s="16"/>
      <c r="H255" s="16"/>
    </row>
    <row r="256" spans="7:8" ht="12.75">
      <c r="G256" s="16"/>
      <c r="H256" s="16"/>
    </row>
    <row r="257" spans="7:8" ht="12.75">
      <c r="G257" s="16"/>
      <c r="H257" s="16"/>
    </row>
    <row r="258" spans="7:8" ht="12.75">
      <c r="G258" s="16"/>
      <c r="H258" s="16"/>
    </row>
    <row r="259" spans="7:8" ht="12.75">
      <c r="G259" s="16"/>
      <c r="H259" s="16"/>
    </row>
    <row r="260" spans="7:8" ht="12.75">
      <c r="G260" s="16"/>
      <c r="H260" s="16"/>
    </row>
    <row r="261" spans="7:8" ht="12.75">
      <c r="G261" s="16"/>
      <c r="H261" s="16"/>
    </row>
    <row r="262" spans="7:8" ht="12.75">
      <c r="G262" s="16"/>
      <c r="H262" s="16"/>
    </row>
    <row r="263" spans="7:8" ht="12.75">
      <c r="G263" s="16"/>
      <c r="H263" s="16"/>
    </row>
    <row r="264" spans="7:8" ht="12.75">
      <c r="G264" s="16"/>
      <c r="H264" s="16"/>
    </row>
    <row r="265" spans="7:8" ht="12.75">
      <c r="G265" s="16"/>
      <c r="H265" s="16"/>
    </row>
    <row r="266" spans="7:8" ht="12.75">
      <c r="G266" s="16"/>
      <c r="H266" s="16"/>
    </row>
    <row r="267" spans="7:8" ht="12.75">
      <c r="G267" s="16"/>
      <c r="H267" s="16"/>
    </row>
    <row r="268" spans="7:8" ht="12.75">
      <c r="G268" s="16"/>
      <c r="H268" s="16"/>
    </row>
    <row r="269" spans="7:8" ht="12.75">
      <c r="G269" s="16"/>
      <c r="H269" s="16"/>
    </row>
    <row r="270" spans="7:8" ht="12.75">
      <c r="G270" s="16"/>
      <c r="H270" s="16"/>
    </row>
    <row r="271" spans="7:8" ht="12.75">
      <c r="G271" s="16"/>
      <c r="H271" s="16"/>
    </row>
    <row r="272" spans="7:8" ht="12.75">
      <c r="G272" s="16"/>
      <c r="H272" s="16"/>
    </row>
    <row r="273" spans="7:8" ht="12.75">
      <c r="G273" s="16"/>
      <c r="H273" s="16"/>
    </row>
    <row r="274" spans="7:8" ht="12.75">
      <c r="G274" s="16"/>
      <c r="H274" s="16"/>
    </row>
    <row r="275" spans="7:8" ht="12.75">
      <c r="G275" s="16"/>
      <c r="H275" s="16"/>
    </row>
    <row r="276" spans="7:8" ht="12.75">
      <c r="G276" s="16"/>
      <c r="H276" s="16"/>
    </row>
    <row r="277" spans="7:8" ht="12.75">
      <c r="G277" s="16"/>
      <c r="H277" s="16"/>
    </row>
    <row r="278" spans="7:8" ht="12.75">
      <c r="G278" s="16"/>
      <c r="H278" s="16"/>
    </row>
    <row r="279" spans="7:8" ht="12.75">
      <c r="G279" s="16"/>
      <c r="H279" s="16"/>
    </row>
    <row r="280" spans="7:8" ht="12.75">
      <c r="G280" s="16"/>
      <c r="H280" s="16"/>
    </row>
    <row r="281" spans="7:8" ht="12.75">
      <c r="G281" s="16"/>
      <c r="H281" s="16"/>
    </row>
    <row r="282" spans="7:8" ht="12.75">
      <c r="G282" s="16"/>
      <c r="H282" s="16"/>
    </row>
    <row r="283" spans="7:8" ht="12.75">
      <c r="G283" s="16"/>
      <c r="H283" s="16"/>
    </row>
    <row r="284" spans="7:8" ht="12.75">
      <c r="G284" s="16"/>
      <c r="H284" s="16"/>
    </row>
    <row r="285" spans="7:8" ht="12.75">
      <c r="G285" s="16"/>
      <c r="H285" s="16"/>
    </row>
    <row r="286" spans="7:8" ht="12.75">
      <c r="G286" s="16"/>
      <c r="H286" s="16"/>
    </row>
    <row r="287" spans="7:8" ht="12.75">
      <c r="G287" s="16"/>
      <c r="H287" s="16"/>
    </row>
    <row r="288" spans="7:8" ht="12.75">
      <c r="G288" s="16"/>
      <c r="H288" s="16"/>
    </row>
    <row r="289" spans="7:8" ht="12.75">
      <c r="G289" s="16"/>
      <c r="H289" s="16"/>
    </row>
    <row r="290" spans="7:8" ht="12.75">
      <c r="G290" s="16"/>
      <c r="H290" s="16"/>
    </row>
    <row r="291" spans="7:8" ht="12.75">
      <c r="G291" s="16"/>
      <c r="H291" s="16"/>
    </row>
    <row r="292" spans="7:8" ht="12.75">
      <c r="G292" s="16"/>
      <c r="H292" s="16"/>
    </row>
    <row r="293" spans="7:8" ht="12.75">
      <c r="G293" s="16"/>
      <c r="H293" s="16"/>
    </row>
    <row r="294" spans="7:8" ht="12.75">
      <c r="G294" s="16"/>
      <c r="H294" s="16"/>
    </row>
    <row r="295" spans="7:8" ht="12.75">
      <c r="G295" s="16"/>
      <c r="H295" s="16"/>
    </row>
    <row r="296" spans="7:8" ht="12.75">
      <c r="G296" s="16"/>
      <c r="H296" s="16"/>
    </row>
    <row r="297" spans="7:8" ht="12.75">
      <c r="G297" s="16"/>
      <c r="H297" s="16"/>
    </row>
    <row r="298" spans="7:8" ht="12.75">
      <c r="G298" s="16"/>
      <c r="H298" s="16"/>
    </row>
    <row r="299" spans="7:8" ht="12.75">
      <c r="G299" s="16"/>
      <c r="H299" s="16"/>
    </row>
    <row r="300" spans="7:8" ht="12.75">
      <c r="G300" s="16"/>
      <c r="H300" s="16"/>
    </row>
    <row r="301" spans="7:8" ht="12.75">
      <c r="G301" s="16"/>
      <c r="H301" s="16"/>
    </row>
    <row r="302" spans="7:8" ht="12.75">
      <c r="G302" s="16"/>
      <c r="H302" s="16"/>
    </row>
    <row r="303" spans="7:8" ht="12.75">
      <c r="G303" s="16"/>
      <c r="H303" s="16"/>
    </row>
    <row r="304" spans="7:8" ht="12.75">
      <c r="G304" s="16"/>
      <c r="H304" s="16"/>
    </row>
    <row r="305" spans="7:8" ht="12.75">
      <c r="G305" s="16"/>
      <c r="H305" s="16"/>
    </row>
    <row r="306" spans="7:8" ht="12.75">
      <c r="G306" s="16"/>
      <c r="H306" s="16"/>
    </row>
    <row r="307" spans="7:8" ht="12.75">
      <c r="G307" s="16"/>
      <c r="H307" s="16"/>
    </row>
    <row r="308" spans="7:8" ht="12.75">
      <c r="G308" s="16"/>
      <c r="H308" s="16"/>
    </row>
    <row r="309" spans="7:8" ht="12.75">
      <c r="G309" s="16"/>
      <c r="H309" s="16"/>
    </row>
    <row r="310" spans="7:8" ht="12.75">
      <c r="G310" s="16"/>
      <c r="H310" s="16"/>
    </row>
    <row r="311" spans="7:8" ht="12.75">
      <c r="G311" s="16"/>
      <c r="H311" s="16"/>
    </row>
    <row r="312" spans="7:8" ht="12.75">
      <c r="G312" s="16"/>
      <c r="H312" s="16"/>
    </row>
    <row r="313" spans="7:8" ht="12.75">
      <c r="G313" s="16"/>
      <c r="H313" s="16"/>
    </row>
    <row r="314" spans="7:8" ht="12.75">
      <c r="G314" s="16"/>
      <c r="H314" s="16"/>
    </row>
    <row r="315" spans="7:8" ht="12.75">
      <c r="G315" s="16"/>
      <c r="H315" s="16"/>
    </row>
    <row r="316" spans="7:8" ht="12.75">
      <c r="G316" s="16"/>
      <c r="H316" s="16"/>
    </row>
    <row r="317" spans="7:8" ht="12.75">
      <c r="G317" s="16"/>
      <c r="H317" s="16"/>
    </row>
    <row r="318" spans="7:8" ht="12.75">
      <c r="G318" s="16"/>
      <c r="H318" s="16"/>
    </row>
    <row r="319" spans="7:8" ht="12.75">
      <c r="G319" s="16"/>
      <c r="H319" s="16"/>
    </row>
    <row r="320" spans="7:8" ht="12.75">
      <c r="G320" s="16"/>
      <c r="H320" s="16"/>
    </row>
    <row r="321" spans="7:8" ht="12.75">
      <c r="G321" s="16"/>
      <c r="H321" s="16"/>
    </row>
    <row r="322" spans="7:8" ht="12.75">
      <c r="G322" s="16"/>
      <c r="H322" s="16"/>
    </row>
    <row r="323" spans="7:8" ht="12.75">
      <c r="G323" s="16"/>
      <c r="H323" s="16"/>
    </row>
    <row r="324" spans="7:8" ht="12.75">
      <c r="G324" s="16"/>
      <c r="H324" s="16"/>
    </row>
    <row r="325" spans="7:8" ht="12.75">
      <c r="G325" s="16"/>
      <c r="H325" s="16"/>
    </row>
    <row r="326" spans="7:8" ht="12.75">
      <c r="G326" s="16"/>
      <c r="H326" s="16"/>
    </row>
    <row r="327" spans="7:8" ht="12.75">
      <c r="G327" s="16"/>
      <c r="H327" s="16"/>
    </row>
    <row r="328" spans="7:8" ht="12.75">
      <c r="G328" s="16"/>
      <c r="H328" s="16"/>
    </row>
    <row r="329" spans="7:8" ht="12.75">
      <c r="G329" s="16"/>
      <c r="H329" s="16"/>
    </row>
    <row r="330" spans="7:8" ht="12.75">
      <c r="G330" s="16"/>
      <c r="H330" s="16"/>
    </row>
    <row r="331" spans="7:8" ht="12.75">
      <c r="G331" s="16"/>
      <c r="H331" s="16"/>
    </row>
    <row r="332" spans="7:8" ht="12.75">
      <c r="G332" s="16"/>
      <c r="H332" s="16"/>
    </row>
    <row r="333" spans="7:8" ht="12.75">
      <c r="G333" s="16"/>
      <c r="H333" s="16"/>
    </row>
    <row r="334" spans="7:8" ht="12.75">
      <c r="G334" s="16"/>
      <c r="H334" s="16"/>
    </row>
    <row r="335" spans="7:8" ht="12.75">
      <c r="G335" s="16"/>
      <c r="H335" s="16"/>
    </row>
    <row r="336" spans="7:8" ht="12.75">
      <c r="G336" s="16"/>
      <c r="H336" s="16"/>
    </row>
    <row r="337" spans="7:8" ht="12.75">
      <c r="G337" s="16"/>
      <c r="H337" s="16"/>
    </row>
    <row r="338" spans="7:8" ht="12.75">
      <c r="G338" s="16"/>
      <c r="H338" s="16"/>
    </row>
    <row r="339" spans="7:8" ht="12.75">
      <c r="G339" s="16"/>
      <c r="H339" s="16"/>
    </row>
    <row r="340" spans="7:8" ht="12.75">
      <c r="G340" s="16"/>
      <c r="H340" s="16"/>
    </row>
    <row r="341" spans="7:8" ht="12.75">
      <c r="G341" s="16"/>
      <c r="H341" s="16"/>
    </row>
    <row r="342" spans="7:8" ht="12.75">
      <c r="G342" s="16"/>
      <c r="H342" s="16"/>
    </row>
    <row r="343" spans="7:8" ht="12.75">
      <c r="G343" s="16"/>
      <c r="H343" s="16"/>
    </row>
    <row r="344" spans="7:8" ht="12.75">
      <c r="G344" s="16"/>
      <c r="H344" s="16"/>
    </row>
    <row r="345" spans="7:8" ht="12.75">
      <c r="G345" s="16"/>
      <c r="H345" s="16"/>
    </row>
    <row r="346" spans="7:8" ht="12.75">
      <c r="G346" s="16"/>
      <c r="H346" s="16"/>
    </row>
    <row r="347" spans="7:8" ht="12.75">
      <c r="G347" s="16"/>
      <c r="H347" s="16"/>
    </row>
    <row r="348" spans="7:8" ht="12.75">
      <c r="G348" s="16"/>
      <c r="H348" s="16"/>
    </row>
    <row r="349" spans="7:8" ht="12.75">
      <c r="G349" s="16"/>
      <c r="H349" s="16"/>
    </row>
    <row r="350" spans="7:8" ht="12.75">
      <c r="G350" s="16"/>
      <c r="H350" s="16"/>
    </row>
    <row r="351" spans="7:8" ht="12.75">
      <c r="G351" s="16"/>
      <c r="H351" s="16"/>
    </row>
    <row r="352" spans="7:8" ht="12.75">
      <c r="G352" s="16"/>
      <c r="H352" s="16"/>
    </row>
    <row r="353" spans="7:8" ht="12.75">
      <c r="G353" s="16"/>
      <c r="H353" s="16"/>
    </row>
    <row r="354" spans="7:8" ht="12.75">
      <c r="G354" s="16"/>
      <c r="H354" s="16"/>
    </row>
    <row r="355" spans="7:8" ht="12.75">
      <c r="G355" s="16"/>
      <c r="H355" s="16"/>
    </row>
    <row r="356" spans="7:8" ht="12.75">
      <c r="G356" s="16"/>
      <c r="H356" s="16"/>
    </row>
    <row r="357" spans="7:8" ht="12.75">
      <c r="G357" s="16"/>
      <c r="H357" s="16"/>
    </row>
    <row r="358" spans="7:8" ht="12.75">
      <c r="G358" s="16"/>
      <c r="H358" s="16"/>
    </row>
    <row r="359" spans="7:8" ht="12.75">
      <c r="G359" s="16"/>
      <c r="H359" s="16"/>
    </row>
    <row r="360" spans="7:8" ht="12.75">
      <c r="G360" s="16"/>
      <c r="H360" s="16"/>
    </row>
    <row r="361" spans="7:8" ht="12.75">
      <c r="G361" s="16"/>
      <c r="H361" s="16"/>
    </row>
    <row r="362" spans="7:8" ht="12.75">
      <c r="G362" s="16"/>
      <c r="H362" s="16"/>
    </row>
    <row r="363" spans="7:8" ht="12.75">
      <c r="G363" s="16"/>
      <c r="H363" s="16"/>
    </row>
    <row r="364" spans="7:8" ht="12.75">
      <c r="G364" s="16"/>
      <c r="H364" s="16"/>
    </row>
    <row r="365" spans="7:8" ht="12.75">
      <c r="G365" s="16"/>
      <c r="H365" s="16"/>
    </row>
    <row r="366" spans="7:8" ht="12.75">
      <c r="G366" s="16"/>
      <c r="H366" s="16"/>
    </row>
    <row r="367" spans="7:8" ht="12.75">
      <c r="G367" s="16"/>
      <c r="H367" s="16"/>
    </row>
    <row r="368" spans="7:8" ht="12.75">
      <c r="G368" s="16"/>
      <c r="H368" s="16"/>
    </row>
    <row r="369" spans="7:8" ht="12.75">
      <c r="G369" s="16"/>
      <c r="H369" s="16"/>
    </row>
    <row r="370" spans="7:8" ht="12.75">
      <c r="G370" s="16"/>
      <c r="H370" s="16"/>
    </row>
    <row r="371" spans="7:8" ht="12.75">
      <c r="G371" s="16"/>
      <c r="H371" s="16"/>
    </row>
    <row r="372" spans="7:8" ht="12.75">
      <c r="G372" s="16"/>
      <c r="H372" s="16"/>
    </row>
    <row r="373" spans="7:8" ht="12.75">
      <c r="G373" s="16"/>
      <c r="H373" s="16"/>
    </row>
    <row r="374" spans="7:8" ht="12.75">
      <c r="G374" s="16"/>
      <c r="H374" s="16"/>
    </row>
    <row r="375" spans="7:8" ht="12.75">
      <c r="G375" s="16"/>
      <c r="H375" s="16"/>
    </row>
    <row r="376" spans="7:8" ht="12.75">
      <c r="G376" s="16"/>
      <c r="H376" s="16"/>
    </row>
    <row r="377" spans="7:8" ht="12.75">
      <c r="G377" s="16"/>
      <c r="H377" s="16"/>
    </row>
    <row r="378" spans="7:8" ht="12.75">
      <c r="G378" s="16"/>
      <c r="H378" s="16"/>
    </row>
    <row r="379" spans="7:8" ht="12.75">
      <c r="G379" s="16"/>
      <c r="H379" s="16"/>
    </row>
    <row r="380" spans="7:8" ht="12.75">
      <c r="G380" s="16"/>
      <c r="H380" s="16"/>
    </row>
    <row r="381" spans="7:8" ht="12.75">
      <c r="G381" s="16"/>
      <c r="H381" s="16"/>
    </row>
    <row r="382" spans="7:8" ht="12.75">
      <c r="G382" s="16"/>
      <c r="H382" s="16"/>
    </row>
    <row r="383" spans="7:8" ht="12.75">
      <c r="G383" s="16"/>
      <c r="H383" s="16"/>
    </row>
    <row r="384" spans="7:8" ht="12.75">
      <c r="G384" s="16"/>
      <c r="H384" s="16"/>
    </row>
    <row r="385" spans="7:8" ht="12.75">
      <c r="G385" s="16"/>
      <c r="H385" s="16"/>
    </row>
    <row r="386" spans="7:8" ht="12.75">
      <c r="G386" s="16"/>
      <c r="H386" s="16"/>
    </row>
    <row r="387" spans="7:8" ht="12.75">
      <c r="G387" s="16"/>
      <c r="H387" s="16"/>
    </row>
    <row r="388" spans="7:8" ht="12.75">
      <c r="G388" s="16"/>
      <c r="H388" s="16"/>
    </row>
    <row r="389" spans="7:8" ht="12.75">
      <c r="G389" s="16"/>
      <c r="H389" s="16"/>
    </row>
    <row r="390" spans="7:8" ht="12.75">
      <c r="G390" s="16"/>
      <c r="H390" s="16"/>
    </row>
    <row r="391" spans="7:8" ht="12.75">
      <c r="G391" s="16"/>
      <c r="H391" s="16"/>
    </row>
    <row r="392" spans="7:8" ht="12.75">
      <c r="G392" s="16"/>
      <c r="H392" s="16"/>
    </row>
    <row r="393" spans="7:8" ht="12.75">
      <c r="G393" s="16"/>
      <c r="H393" s="16"/>
    </row>
    <row r="394" spans="7:8" ht="12.75">
      <c r="G394" s="16"/>
      <c r="H394" s="16"/>
    </row>
    <row r="395" spans="7:8" ht="12.75">
      <c r="G395" s="16"/>
      <c r="H395" s="16"/>
    </row>
    <row r="396" spans="7:8" ht="12.75">
      <c r="G396" s="16"/>
      <c r="H396" s="16"/>
    </row>
    <row r="397" spans="7:8" ht="12.75">
      <c r="G397" s="16"/>
      <c r="H397" s="16"/>
    </row>
    <row r="398" spans="7:8" ht="12.75">
      <c r="G398" s="16"/>
      <c r="H398" s="16"/>
    </row>
    <row r="399" spans="7:8" ht="12.75">
      <c r="G399" s="16"/>
      <c r="H399" s="16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2" dxfId="4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2018-06-18T11:23:50Z</cp:lastPrinted>
  <dcterms:created xsi:type="dcterms:W3CDTF">2000-06-20T04:48:00Z</dcterms:created>
  <dcterms:modified xsi:type="dcterms:W3CDTF">2018-07-02T05:18:20Z</dcterms:modified>
  <cp:category/>
  <cp:version/>
  <cp:contentType/>
  <cp:contentStatus/>
</cp:coreProperties>
</file>